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6" yWindow="1656" windowWidth="19956" windowHeight="11640" tabRatio="809" activeTab="8"/>
  </bookViews>
  <sheets>
    <sheet name="INICIO" sheetId="1" r:id="rId1"/>
    <sheet name="CERTIFICACIONES" sheetId="2" r:id="rId2"/>
    <sheet name="CÁLCULO REVISIÓN" sheetId="3" r:id="rId3"/>
    <sheet name="FÓRMULAS" sheetId="4" r:id="rId4"/>
    <sheet name="INDICES" sheetId="5" r:id="rId5"/>
    <sheet name="GARANTIA" sheetId="6" state="hidden" r:id="rId6"/>
    <sheet name="GAR2" sheetId="7" state="hidden" r:id="rId7"/>
    <sheet name="AUXILIAR" sheetId="8" state="hidden" r:id="rId8"/>
    <sheet name="SALIDA RESULTADOS" sheetId="9" r:id="rId9"/>
  </sheets>
  <definedNames>
    <definedName name="_xlfn.SINGLE" hidden="1">#NAME?</definedName>
    <definedName name="_xlnm.Print_Area" localSheetId="2">'CÁLCULO REVISIÓN'!$A$1:$M$259</definedName>
    <definedName name="_xlnm.Print_Area" localSheetId="1">'CERTIFICACIONES'!$A$1:$H$60</definedName>
    <definedName name="_xlnm.Print_Area" localSheetId="3">'FÓRMULAS'!$A$1:$N$14</definedName>
    <definedName name="_xlnm.Print_Area" localSheetId="6">'GAR2'!$B$1:$M$135</definedName>
    <definedName name="_xlnm.Print_Area" localSheetId="5">'GARANTIA'!$A$1:$H$57</definedName>
    <definedName name="_xlnm.Print_Area" localSheetId="4">'INDICES'!$A$1:$K$263</definedName>
    <definedName name="_xlnm.Print_Area" localSheetId="0">'INICIO'!$B$1:$P$43</definedName>
    <definedName name="_xlnm.Print_Area" localSheetId="8">'SALIDA RESULTADOS'!$A$1:$H$213</definedName>
    <definedName name="_xlnm.Print_Titles" localSheetId="4">'INDICES'!$1:$10</definedName>
  </definedNames>
  <calcPr fullCalcOnLoad="1"/>
</workbook>
</file>

<file path=xl/comments1.xml><?xml version="1.0" encoding="utf-8"?>
<comments xmlns="http://schemas.openxmlformats.org/spreadsheetml/2006/main">
  <authors>
    <author>COPUT</author>
    <author>Servicio de Coordinacion y Supervision de Proyectos</author>
    <author>Mauro P?rez Segura</author>
    <author>MO</author>
    <author>SMG07</author>
  </authors>
  <commentList>
    <comment ref="B10" authorId="0">
      <text>
        <r>
          <rPr>
            <sz val="10"/>
            <rFont val="Tahoma"/>
            <family val="2"/>
          </rPr>
          <t>Fecha de publicación de la convocatoria de licitación en Diario Oficial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Tahoma"/>
            <family val="2"/>
          </rPr>
          <t>PARA CONTRATOS CUYA PUBLICACIÓN SEA ANTERIOR AL 30 DE ABRIL DE 2008, FECHA LICITACIÓN = FECHA LÍMITE PRESENTACIÓN OFERTAS
PARA CONTRATOS CUYA PUBLICACIÓN SEA POSTERIOR AL 29 DE ABRIL DE 2008, DEBE INDICARSE LA MENOR FECHA ENTRE LA FECHA DE ADJUDICACIÓN Y LA FECHA LÍMITE DE PRESENTACIÓN DE OFERTAS MÁS 3 MESES</t>
        </r>
      </text>
    </comment>
    <comment ref="B20" authorId="0">
      <text>
        <r>
          <rPr>
            <sz val="10"/>
            <rFont val="Tahoma"/>
            <family val="2"/>
          </rPr>
          <t>FECHA DE ADJUDICACIÓN:
-En los casos de Ley 95 o Ley 01: fecha que figura en la resolución de adjudicación. 
-En el caso de LCSP08, poner la fecha REAL de adjudicación. El programa aplica el art. 79.3 para determinar el mes de referencia (adjudicación si se ha producido dentro de los 3 meses siguientes al límite de presentación de ofertas). Para el plazo se cuenta desde la fecha de adjudicación (art. 77.1)</t>
        </r>
      </text>
    </comment>
    <comment ref="J31" authorId="1">
      <text>
        <r>
          <rPr>
            <b/>
            <sz val="8"/>
            <rFont val="Tahoma"/>
            <family val="2"/>
          </rPr>
          <t>Introducir el mes y año de la última certificación ORDINARIA, aunque sea de CERO euros. No se refiere a la Cerficacion Final de Obra.</t>
        </r>
      </text>
    </comment>
    <comment ref="B35" authorId="2">
      <text>
        <r>
          <rPr>
            <b/>
            <sz val="8"/>
            <rFont val="Tahoma"/>
            <family val="2"/>
          </rPr>
          <t>NO RELLENAR. ESTA CASILLA ES INFORMATIVA Y SE COMPLETA AL INTRODUCIR LAS CERTIFICACIONES</t>
        </r>
        <r>
          <rPr>
            <sz val="8"/>
            <rFont val="Tahoma"/>
            <family val="2"/>
          </rPr>
          <t xml:space="preserve">
</t>
        </r>
      </text>
    </comment>
    <comment ref="G35" authorId="2">
      <text>
        <r>
          <rPr>
            <b/>
            <sz val="8"/>
            <rFont val="Tahoma"/>
            <family val="2"/>
          </rPr>
          <t>NO RELLENAR. ESTA CASILLA ES INFORMATIVA Y SE COMPLETA AL INTRODUCIR LAS CERTIFICACIONES</t>
        </r>
      </text>
    </comment>
    <comment ref="B29" authorId="3">
      <text>
        <r>
          <rPr>
            <b/>
            <sz val="9"/>
            <rFont val="Tahoma"/>
            <family val="2"/>
          </rPr>
          <t>PRESUPUESTO VIGENTE APROBADO ANTES DE LA CERTIFICACIÓN FINAL, SIN INCLUIR PRESUPUESTOS POR REVISIÓN DE PRECIOS Y SIN INCLUIR LA CFO</t>
        </r>
      </text>
    </comment>
    <comment ref="M12" authorId="4">
      <text>
        <r>
          <rPr>
            <b/>
            <sz val="9"/>
            <rFont val="Tahoma"/>
            <family val="2"/>
          </rPr>
          <t>SI LA FECHA DE PUBLICACIÓN DE LA CONVOCATORIA ES POSTERIOR AL 25-DIC-2011:
 DESCARGUE EL PROGRAMA REVIPRE1359 PARA CALCULAR LA REVISIÓN</t>
        </r>
      </text>
    </comment>
  </commentList>
</comments>
</file>

<file path=xl/comments5.xml><?xml version="1.0" encoding="utf-8"?>
<comments xmlns="http://schemas.openxmlformats.org/spreadsheetml/2006/main">
  <authors>
    <author>MO</author>
  </authors>
  <commentList>
    <comment ref="B137" authorId="0">
      <text>
        <r>
          <rPr>
            <b/>
            <sz val="8"/>
            <rFont val="Tahoma"/>
            <family val="2"/>
          </rPr>
          <t>MO:</t>
        </r>
        <r>
          <rPr>
            <sz val="8"/>
            <rFont val="Tahoma"/>
            <family val="2"/>
          </rPr>
          <t xml:space="preserve">
El índice de energía se rectificó en BOE de 29/05/07</t>
        </r>
      </text>
    </comment>
    <comment ref="B138" authorId="0">
      <text>
        <r>
          <rPr>
            <b/>
            <sz val="8"/>
            <rFont val="Tahoma"/>
            <family val="2"/>
          </rPr>
          <t>MO:</t>
        </r>
        <r>
          <rPr>
            <sz val="8"/>
            <rFont val="Tahoma"/>
            <family val="2"/>
          </rPr>
          <t xml:space="preserve">
El índice de energía se modificó en el BOE de 29/05/2007</t>
        </r>
      </text>
    </comment>
    <comment ref="B139" authorId="0">
      <text>
        <r>
          <rPr>
            <b/>
            <sz val="8"/>
            <rFont val="Tahoma"/>
            <family val="2"/>
          </rPr>
          <t>MO:</t>
        </r>
        <r>
          <rPr>
            <sz val="8"/>
            <rFont val="Tahoma"/>
            <family val="2"/>
          </rPr>
          <t xml:space="preserve">
El índice de energía se modificó en BOE de 29/05/2007</t>
        </r>
      </text>
    </comment>
    <comment ref="H200" authorId="0">
      <text>
        <r>
          <rPr>
            <b/>
            <sz val="9"/>
            <rFont val="Tahoma"/>
            <family val="2"/>
          </rPr>
          <t>MAUROPEREZSEGURA:</t>
        </r>
        <r>
          <rPr>
            <sz val="9"/>
            <rFont val="Tahoma"/>
            <family val="2"/>
          </rPr>
          <t xml:space="preserve">
en BOE 23/05/2012 3.339,90 EN BOE 30/10/2012 3.342,3</t>
        </r>
      </text>
    </comment>
    <comment ref="H201" authorId="0">
      <text>
        <r>
          <rPr>
            <b/>
            <sz val="9"/>
            <rFont val="Tahoma"/>
            <family val="2"/>
          </rPr>
          <t>MAUROPEREZSEGURA:</t>
        </r>
        <r>
          <rPr>
            <sz val="9"/>
            <rFont val="Tahoma"/>
            <family val="2"/>
          </rPr>
          <t xml:space="preserve">
en BOE 23/05/12 3.421,30 en BOE 30/10/12 3.423,7
ÍNDICE CORREGIDO</t>
        </r>
      </text>
    </comment>
    <comment ref="H202" authorId="0">
      <text>
        <r>
          <rPr>
            <b/>
            <sz val="9"/>
            <rFont val="Tahoma"/>
            <family val="2"/>
          </rPr>
          <t>MAUROPEREZSEGURA:</t>
        </r>
        <r>
          <rPr>
            <sz val="9"/>
            <rFont val="Tahoma"/>
            <family val="2"/>
          </rPr>
          <t xml:space="preserve">
en BOE 23/05/12 3.407,80 en BOE 30/10/12 3.410,2</t>
        </r>
      </text>
    </comment>
    <comment ref="B227" authorId="0">
      <text>
        <r>
          <rPr>
            <b/>
            <sz val="9"/>
            <rFont val="Tahoma"/>
            <family val="2"/>
          </rPr>
          <t>Los índices de mano de obra y materiales se publicaron en BOE 16/09/15, pero hasta la publicación de los coeficientes de enlace el 26/10/15 no se podían obtener</t>
        </r>
      </text>
    </comment>
    <comment ref="B238" authorId="0">
      <text>
        <r>
          <rPr>
            <b/>
            <sz val="9"/>
            <rFont val="Tahoma"/>
            <family val="2"/>
          </rPr>
          <t>Los índices de mano de obra y materiales se publicaron en BOE 16/09/15, pero hasta la publicación de los coeficientes de enlace el 26/10/15 no se podían obtener</t>
        </r>
        <r>
          <rPr>
            <sz val="9"/>
            <rFont val="Tahoma"/>
            <family val="2"/>
          </rPr>
          <t xml:space="preserve">
</t>
        </r>
      </text>
    </comment>
    <comment ref="B222" authorId="0">
      <text>
        <r>
          <rPr>
            <b/>
            <sz val="9"/>
            <rFont val="Tahoma"/>
            <family val="2"/>
          </rPr>
          <t>Los índices de mano de obra y materiales se publicaron en BOE 10/04/15, pero hasta la publicación de los coeficientes de enlace el 26/10/15 no se podían obtener</t>
        </r>
      </text>
    </comment>
    <comment ref="B226" authorId="0">
      <text>
        <r>
          <rPr>
            <sz val="9"/>
            <rFont val="Tahoma"/>
            <family val="2"/>
          </rPr>
          <t>Los índices de mano de obra y materiales se publicaron en BOE 10/04/15, pero hasta la publicación de los coeficientes de enlace el 26/10/15 no se podían obtener</t>
        </r>
      </text>
    </comment>
  </commentList>
</comments>
</file>

<file path=xl/sharedStrings.xml><?xml version="1.0" encoding="utf-8"?>
<sst xmlns="http://schemas.openxmlformats.org/spreadsheetml/2006/main" count="3125" uniqueCount="367">
  <si>
    <t>PUBL. BOE</t>
  </si>
  <si>
    <t>IND.NACIONAL</t>
  </si>
  <si>
    <t>CEMENTO</t>
  </si>
  <si>
    <t>CERAMICA</t>
  </si>
  <si>
    <t>MADERAS</t>
  </si>
  <si>
    <t>ACERO</t>
  </si>
  <si>
    <t>ENERGIAS</t>
  </si>
  <si>
    <t>COBRE</t>
  </si>
  <si>
    <t>ALUMINIO</t>
  </si>
  <si>
    <t>LIGANTES</t>
  </si>
  <si>
    <t>FECHA</t>
  </si>
  <si>
    <t>Tipo</t>
  </si>
  <si>
    <t>Descripción</t>
  </si>
  <si>
    <t>Ht/Ho</t>
  </si>
  <si>
    <t>Et/Eo</t>
  </si>
  <si>
    <t>Ct/Co</t>
  </si>
  <si>
    <t>St/So</t>
  </si>
  <si>
    <t>Lt/Lo</t>
  </si>
  <si>
    <t>Crt/Cro</t>
  </si>
  <si>
    <t>Mt/Mo</t>
  </si>
  <si>
    <t>Alt/Alo</t>
  </si>
  <si>
    <t>Cut/Cuo</t>
  </si>
  <si>
    <t>Fijo</t>
  </si>
  <si>
    <t>Explanación en general.</t>
  </si>
  <si>
    <t>Explanación con explosivos.</t>
  </si>
  <si>
    <t>Obras de fábrica en general.</t>
  </si>
  <si>
    <t>Firmes con pavimento bituminoso.</t>
  </si>
  <si>
    <t>Abastecimientos y distribuciones de agua.</t>
  </si>
  <si>
    <t>Obras de hormigón armado con fuerte cuantía.</t>
  </si>
  <si>
    <t>Superestructura de ferrocarriles</t>
  </si>
  <si>
    <t>Ho</t>
  </si>
  <si>
    <t>Co</t>
  </si>
  <si>
    <t>Cro</t>
  </si>
  <si>
    <t>Mo</t>
  </si>
  <si>
    <t>So</t>
  </si>
  <si>
    <t>Eo</t>
  </si>
  <si>
    <t>Cuo</t>
  </si>
  <si>
    <t>Alo</t>
  </si>
  <si>
    <t>Lo</t>
  </si>
  <si>
    <t>Ht</t>
  </si>
  <si>
    <t>Ct</t>
  </si>
  <si>
    <t>Crt</t>
  </si>
  <si>
    <t>Mt</t>
  </si>
  <si>
    <t>St</t>
  </si>
  <si>
    <t>Et</t>
  </si>
  <si>
    <t>Cut</t>
  </si>
  <si>
    <t>Alt</t>
  </si>
  <si>
    <t>Lt</t>
  </si>
  <si>
    <t>Kt</t>
  </si>
  <si>
    <t>Mes</t>
  </si>
  <si>
    <t>Año</t>
  </si>
  <si>
    <t>Certif. Rev</t>
  </si>
  <si>
    <t>Certificación</t>
  </si>
  <si>
    <t>Certificación Revisada</t>
  </si>
  <si>
    <t>Importe de la revisión</t>
  </si>
  <si>
    <t>CÁLCULO DE LA REVISIÓN DE PRECIOS DEL SALDO DE LIQUIDACIÓN</t>
  </si>
  <si>
    <t>IMPORTE TOTAL DE LA REVISIÓN DE PRECIOS</t>
  </si>
  <si>
    <t>Reglamento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</si>
  <si>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</si>
  <si>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</si>
  <si>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</si>
  <si>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</si>
  <si>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</si>
  <si>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</si>
  <si>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</si>
  <si>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</si>
  <si>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</si>
  <si>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</si>
  <si>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</si>
  <si>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</si>
  <si>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</si>
  <si>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AÑO</t>
  </si>
  <si>
    <t>DIA</t>
  </si>
  <si>
    <t>Aux año licitación</t>
  </si>
  <si>
    <t>Aux año adjudicación</t>
  </si>
  <si>
    <t>FECHA DE LICITACIÓN</t>
  </si>
  <si>
    <t>FECHA DE ADJUDICACIÓN</t>
  </si>
  <si>
    <t>Ley</t>
  </si>
  <si>
    <t>PRESUPUESTO VIGENTE</t>
  </si>
  <si>
    <t>Túneles de pequeña sección. Obras de pozos y galería</t>
  </si>
  <si>
    <t>Caminos y desagües rurales</t>
  </si>
  <si>
    <t>Pistas de hormigón hidráulico</t>
  </si>
  <si>
    <t>Pistas de pavimentos bituminosos</t>
  </si>
  <si>
    <t>Grandes canales. Presas de tierra y escollera</t>
  </si>
  <si>
    <t>Obras de gran volumen de hormigón</t>
  </si>
  <si>
    <t>Dragados en terrenos con predominio de roca</t>
  </si>
  <si>
    <t>Obras metálicas</t>
  </si>
  <si>
    <t>Edificios con muros de fábrica, instalaciones &lt; 20 % pres</t>
  </si>
  <si>
    <t>Edificios con muros de fábrica, instalaciones &gt; 20 % pres</t>
  </si>
  <si>
    <t>Edificios con estructura de hormigón, instalaciones &lt; 20 % pres</t>
  </si>
  <si>
    <t>Edificios con estructura de hormigón, instalaciones &gt; 20 % pres</t>
  </si>
  <si>
    <t>Edificios con estructura metálica, instalaciones &lt; 20 % pres</t>
  </si>
  <si>
    <t>Edificios con estructura metálica, instalaciones &gt; 20 % pres</t>
  </si>
  <si>
    <t>Edificios estructura metálica-hormigón, instalaciones &lt; 20 % pres</t>
  </si>
  <si>
    <t>Edificios estructura metálica-hormigón, instalaciones &gt; 20 % pres</t>
  </si>
  <si>
    <t>Jardinería y plantaciones</t>
  </si>
  <si>
    <t>Lineas de transporte de energía tensión igual o superior a 45 Kv</t>
  </si>
  <si>
    <t>Lineas de transporte de energía tensión inferior a 45 Kv</t>
  </si>
  <si>
    <t>Subestaciones de transformación</t>
  </si>
  <si>
    <t>Instalaciones aéreas de electrificacion en baja tensión</t>
  </si>
  <si>
    <t>Instalaciones subterráneas de electrificación en baja tensión</t>
  </si>
  <si>
    <t>Instalaciones eléctricas y electrónicas: balizamiento de pistas</t>
  </si>
  <si>
    <t>Instalaciones eléctricas y electrónicas: montaje de líneas</t>
  </si>
  <si>
    <t>Instalaciones eléctricas y electrónicas: centro emisores y receptores</t>
  </si>
  <si>
    <t>Instalaciones eléctricas y electrónicas: centrales telefónicas</t>
  </si>
  <si>
    <t>Instalaciones eléctricas y electrónicas: centrales eléctricas</t>
  </si>
  <si>
    <t>Instalaciones eléctricas y electrónicas: equipos electrónicos</t>
  </si>
  <si>
    <t>Instalaciones eléctricas y electrónicas: equipos eléctricos</t>
  </si>
  <si>
    <t>Instalaciones para iluminación de monumentos</t>
  </si>
  <si>
    <t>Mástiles radiantes</t>
  </si>
  <si>
    <t>Conservacion de obras en general</t>
  </si>
  <si>
    <t>Afirmado y pavimentación, base granular, mezcla bituminosa</t>
  </si>
  <si>
    <t>Afirmado y pavimentación, base granular, DTS</t>
  </si>
  <si>
    <t>Afirmado, base bituminosa, firme flexible sin sub-base</t>
  </si>
  <si>
    <t>Afirmado, base bituminosa, firme flexible con suelo cemento</t>
  </si>
  <si>
    <t>Afirmado, base bituminosa, firme flexible sub-base granular</t>
  </si>
  <si>
    <t xml:space="preserve">Afirmado, base grava cemento, firme flexible </t>
  </si>
  <si>
    <t>Pavimento bituminoso, varias capas sobre base no asfáltica</t>
  </si>
  <si>
    <t>Pavimento bituminoso, varias capas incluida base asfáltica</t>
  </si>
  <si>
    <t>Tratamientos superficiales con productos bituminosos</t>
  </si>
  <si>
    <t>nº de fórmulas de revisión de precios</t>
  </si>
  <si>
    <t>Introduzca los nuevos coefientes correspondientes</t>
  </si>
  <si>
    <t>Fórmulas nuevas a introducir</t>
  </si>
  <si>
    <t>VOLVER A HOJA PRINCIPAL</t>
  </si>
  <si>
    <t>TIPO</t>
  </si>
  <si>
    <t>INTRODUCIR CERTIFICACIONES</t>
  </si>
  <si>
    <t>FECHA 1º CERTIFICACION</t>
  </si>
  <si>
    <t>Fecha</t>
  </si>
  <si>
    <t>FECHAS</t>
  </si>
  <si>
    <t>Nº MES</t>
  </si>
  <si>
    <t>CERTIFICACIÓN MENSUAL TOTAL</t>
  </si>
  <si>
    <t>CERTIFICACIÓN A ORIGEN</t>
  </si>
  <si>
    <t>CERTIFICACIÓN FINAL DE OBRA CORRESPONDIENTE A LA FÓRMULA 1</t>
  </si>
  <si>
    <t>VOLVER ARRIBA</t>
  </si>
  <si>
    <t>PRESUPUESTO TOTAL DE LIQUIDACIÓN POR OBRA EJECUTADA</t>
  </si>
  <si>
    <t>Coeficientes de la fórmulas tipo</t>
  </si>
  <si>
    <t>FECHA 1º CERTIFICACION CON REVISIÓN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</si>
  <si>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</si>
  <si>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</si>
  <si>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</si>
  <si>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</si>
  <si>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</si>
  <si>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</si>
  <si>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</si>
  <si>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</si>
  <si>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</si>
  <si>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</si>
  <si>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</si>
  <si>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</si>
  <si>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Certificacion</t>
  </si>
  <si>
    <t>ÚLTIMA CERTIFICACIÓN</t>
  </si>
  <si>
    <t>Nº CERTIFICACIÓN</t>
  </si>
  <si>
    <t>CERTIFICACIÓN FINAL DE OBRA CORRESPONDIENTE A LA FÓRMULA 2</t>
  </si>
  <si>
    <t>ADICIONAL DE LIQUIDACIÓN</t>
  </si>
  <si>
    <t>LEGISLACIÓN APLICABLE</t>
  </si>
  <si>
    <t>REVISION DEL SALDO DE LIQUIDACIÓN</t>
  </si>
  <si>
    <t>Adicional de liquidacion</t>
  </si>
  <si>
    <t>Pendiente de certificación</t>
  </si>
  <si>
    <t>FECHA DE PUBLICACIÓN DEL CONTRATO DE LICITACIÓN</t>
  </si>
  <si>
    <t>Aux 1º certificación</t>
  </si>
  <si>
    <t>Aux publicación contrato</t>
  </si>
  <si>
    <t>&lt;-- Propiedades de los meses --&gt;</t>
  </si>
  <si>
    <t>Líquido certificado</t>
  </si>
  <si>
    <t>Certificación final de Obra</t>
  </si>
  <si>
    <t>Cantidad revisable 1 form</t>
  </si>
  <si>
    <t>2 form</t>
  </si>
  <si>
    <t>Aux cant revisable</t>
  </si>
  <si>
    <t>% porcentaje revisable</t>
  </si>
  <si>
    <t>1 cert - 2 formula - rev</t>
  </si>
  <si>
    <t>1 cert - 1º formula - rev</t>
  </si>
  <si>
    <t xml:space="preserve">Revisión de las certificaciones </t>
  </si>
  <si>
    <t xml:space="preserve"> INTRODUCIR CERTIFICACIÓN FINAL DE OBRA</t>
  </si>
  <si>
    <t>Nº CERT</t>
  </si>
  <si>
    <t>PROVISIONAL</t>
  </si>
  <si>
    <t>Revisión saldo liquidación</t>
  </si>
  <si>
    <t>FECHA PUBLICACIÓN CONVOCATORIA</t>
  </si>
  <si>
    <t>RESUMEN DE LA REVISIÓN DE PRECIOS</t>
  </si>
  <si>
    <t>Datos de la obra</t>
  </si>
  <si>
    <t>Legislación aplicable</t>
  </si>
  <si>
    <t>LEY</t>
  </si>
  <si>
    <t>REGLAMENTO</t>
  </si>
  <si>
    <t>Fórmula de revisión de precios</t>
  </si>
  <si>
    <t>€</t>
  </si>
  <si>
    <t>Resultados de la Revisión de Precios</t>
  </si>
  <si>
    <t>Revisión certificaciones</t>
  </si>
  <si>
    <t>TOTAL REVISIÓN</t>
  </si>
  <si>
    <t>Total Revisión Certificaciones</t>
  </si>
  <si>
    <t>Coeficiente medio</t>
  </si>
  <si>
    <t>Pendiente de certificar</t>
  </si>
  <si>
    <t>Adicional de liquidación</t>
  </si>
  <si>
    <t>Certificación Final de Obra</t>
  </si>
  <si>
    <t>Revisión de Precios del Saldo de Liquidación</t>
  </si>
  <si>
    <t>SERVICIO DE COORDINACIÓN Y SUPERVISIÓN DE PROYECTOS</t>
  </si>
  <si>
    <t>SUBSECRETARÍA</t>
  </si>
  <si>
    <t>Kt 1ªfórm</t>
  </si>
  <si>
    <t>Kt 2ªfórm</t>
  </si>
  <si>
    <t>PV1</t>
  </si>
  <si>
    <t>PV2</t>
  </si>
  <si>
    <t>Procedimiento Negociado</t>
  </si>
  <si>
    <t>Obras de emergencia</t>
  </si>
  <si>
    <t>Otras</t>
  </si>
  <si>
    <t>Con IVA</t>
  </si>
  <si>
    <t>Sin IVA</t>
  </si>
  <si>
    <t>COMPROBAR REVISIÓN</t>
  </si>
  <si>
    <t>IMPRIMIR REVISIÓN</t>
  </si>
  <si>
    <t>IMPORTE REVISION DE PRECIOS</t>
  </si>
  <si>
    <t>íNDICES DE PRECIOS DE MATERIALES</t>
  </si>
  <si>
    <t>¡¡NO TOCAR!!</t>
  </si>
  <si>
    <t>Datos del programa</t>
  </si>
  <si>
    <t>Número</t>
  </si>
  <si>
    <t>Líquido</t>
  </si>
  <si>
    <t>pág. 2</t>
  </si>
  <si>
    <t>pág. 3</t>
  </si>
  <si>
    <t>A ORIGEN</t>
  </si>
  <si>
    <t>Elegir opción</t>
  </si>
  <si>
    <t>error fechas</t>
  </si>
  <si>
    <t>Subasta</t>
  </si>
  <si>
    <t>Concurso</t>
  </si>
  <si>
    <t>error exceso</t>
  </si>
  <si>
    <t>si=1, no=0</t>
  </si>
  <si>
    <t>Aux ULTIMA certif.</t>
  </si>
  <si>
    <t>FECHA ULTIMA CERTIFICACION ORDINARIA</t>
  </si>
  <si>
    <t>ERROR</t>
  </si>
  <si>
    <t>PUBLIC</t>
  </si>
  <si>
    <t>ADJ</t>
  </si>
  <si>
    <t>1ªCERT</t>
  </si>
  <si>
    <t>ULT CO</t>
  </si>
  <si>
    <t>EXTRA</t>
  </si>
  <si>
    <t>error prim/ult</t>
  </si>
  <si>
    <t>error ult/cero</t>
  </si>
  <si>
    <t>Numero de certificac.</t>
  </si>
  <si>
    <t xml:space="preserve">                     RECUERDE "GUARDAR COMO" AL INICIAR UNA REVISIÓN</t>
  </si>
  <si>
    <t>Autor de la revisión:</t>
  </si>
  <si>
    <t>CASOS POSIBLES</t>
  </si>
  <si>
    <t>CO1&gt;PV1 y PV2&gt;CO2</t>
  </si>
  <si>
    <t>PV1&gt;CO1 y CO2&gt;PV2</t>
  </si>
  <si>
    <t>CASO ACTUAL:</t>
  </si>
  <si>
    <t>SUBCASOS POSIBLES</t>
  </si>
  <si>
    <t>CFO1&lt;=DISP1 y CFO2&lt;=DISP2</t>
  </si>
  <si>
    <t>CFO1&gt;DISP1 y CFO2&lt;=DISP2</t>
  </si>
  <si>
    <t>CFO1&lt;=DISP1 y CFO2&gt;DISP2</t>
  </si>
  <si>
    <t>CFO1&gt;DISP1 y CFO2&gt;DISP2</t>
  </si>
  <si>
    <t>SUBCASO ACTUAL:</t>
  </si>
  <si>
    <t>(0 indica una sola fórmula)</t>
  </si>
  <si>
    <t>PV1&gt;=CO1 y PV2&gt;=CO2</t>
  </si>
  <si>
    <t>REMANENTE Y ADICIONAL PARA EL CASO DE DOS FÓRMULAS DE REVISIÓN</t>
  </si>
  <si>
    <t>PULSAR PARA CALCULAR EL REMANENTE Y EL ADICIONAL</t>
  </si>
  <si>
    <t>sCO1</t>
  </si>
  <si>
    <t>sCO2</t>
  </si>
  <si>
    <t>REM1</t>
  </si>
  <si>
    <t>REM2</t>
  </si>
  <si>
    <t>REM11</t>
  </si>
  <si>
    <t>REM22</t>
  </si>
  <si>
    <t>SUBCASO 1</t>
  </si>
  <si>
    <t>REM1111</t>
  </si>
  <si>
    <t>REM2222</t>
  </si>
  <si>
    <t>SUBCASO 2</t>
  </si>
  <si>
    <t>REM111</t>
  </si>
  <si>
    <t>EXCESO1</t>
  </si>
  <si>
    <t>CFO1</t>
  </si>
  <si>
    <t>CFO2</t>
  </si>
  <si>
    <t>REM222</t>
  </si>
  <si>
    <t>DISP2</t>
  </si>
  <si>
    <t>CHUPA1</t>
  </si>
  <si>
    <t>ADIC1</t>
  </si>
  <si>
    <t>ADIC2</t>
  </si>
  <si>
    <t>SUBCASO 3</t>
  </si>
  <si>
    <t>DISP1</t>
  </si>
  <si>
    <t>EXCESO2</t>
  </si>
  <si>
    <t>CHUPA2</t>
  </si>
  <si>
    <t>SUBCASO 4</t>
  </si>
  <si>
    <t>RESULTADO</t>
  </si>
  <si>
    <t>Remanente1</t>
  </si>
  <si>
    <t>Adicional1</t>
  </si>
  <si>
    <t>Remanente2</t>
  </si>
  <si>
    <t>Adicional2</t>
  </si>
  <si>
    <t>TOTAL CERTIFICADO CERTIFICACIONES ORDINARIAS</t>
  </si>
  <si>
    <t>Autor de la revisión</t>
  </si>
  <si>
    <t>INDICE QUE DICE SI HAY 2 FóRMULAS DE REVISIóN, SI YA SE HA INTRODUCIDO PV1 y PV2</t>
  </si>
  <si>
    <t>nºform</t>
  </si>
  <si>
    <t>indice</t>
  </si>
  <si>
    <t>escrito PV2?</t>
  </si>
  <si>
    <t>Introducir el nombre del autor de la revisión</t>
  </si>
  <si>
    <t>UNA fórmula de revisión</t>
  </si>
  <si>
    <t>DOS fórmulas de revisión</t>
  </si>
  <si>
    <t>Primera fórmula de revisión</t>
  </si>
  <si>
    <t>Segunda fórmula de revisión</t>
  </si>
  <si>
    <t>TOTAL LIQUIDO OBRA EJECUTADA</t>
  </si>
  <si>
    <t>ADICIONAL POR OBRA</t>
  </si>
  <si>
    <t>Primera certificación ordinaria</t>
  </si>
  <si>
    <t>Última certificación ordinaria</t>
  </si>
  <si>
    <t>CONSELLERIA D'INFRAESTRUCTURES I TRANSPORT</t>
  </si>
  <si>
    <t>GENERALITAT VALENCIANA</t>
  </si>
  <si>
    <t>PRIMER MES DEL PERIODO DE GARANTIA</t>
  </si>
  <si>
    <t>ÚLTIMO MES DEL PERIODO DE GARANTIA</t>
  </si>
  <si>
    <t>OBRAS EN PERIODO DE GARANTIA</t>
  </si>
  <si>
    <t>PRIMER MES</t>
  </si>
  <si>
    <t>MENSUAL TOTAL (Per. Garantía)</t>
  </si>
  <si>
    <t>A ORIGEN (Per. Garantía)</t>
  </si>
  <si>
    <t>mes</t>
  </si>
  <si>
    <t>año</t>
  </si>
  <si>
    <t>nºmes</t>
  </si>
  <si>
    <t>aux año</t>
  </si>
  <si>
    <t>ULTIMO MES</t>
  </si>
  <si>
    <t>COEF.MEDIO</t>
  </si>
  <si>
    <t>COEF. MEDIO</t>
  </si>
  <si>
    <t>CÁLCULO DE LOS COEFICIENTES Kt DURANTE EL PERIODO DE GARANTIA</t>
  </si>
  <si>
    <t>Importe Revisión</t>
  </si>
  <si>
    <t>TOTAL REVISIÓN DE PRECIOS OBRAS EN PERIODO DE GARANTIA NO IMPUTABLES AL CONTRATISTA</t>
  </si>
  <si>
    <t>ATENCIÓN! LOS RESULTADOS ÚNICAMENTE SON VÁLIDOS PARA OBRAS CON LICITACIÓN POSTERIOR AL 25 DE ABRIL DE 2002</t>
  </si>
  <si>
    <t>07/03/2007*</t>
  </si>
  <si>
    <t>Ht publicado</t>
  </si>
  <si>
    <t>POSTERIOR</t>
  </si>
  <si>
    <t>FECHA PUBLICACION CONVOCATORIA RESPECTO A 29 ABRIL 2008</t>
  </si>
  <si>
    <t>OBRA</t>
  </si>
  <si>
    <t>MES DE PRIMERA CERTIFICACIÓN</t>
  </si>
  <si>
    <t>MES DE ÚLTIMA CERTIFICACIÓN ORDINARIA (no CFO)</t>
  </si>
  <si>
    <t xml:space="preserve">      AÑO</t>
  </si>
  <si>
    <t>MAUPESE INGENIERIA - 2010</t>
  </si>
  <si>
    <t>VOLVER 
A HOJA PRINCIPAL</t>
  </si>
  <si>
    <t>NÚMERO DE CERTIFICACIÓN</t>
  </si>
  <si>
    <t>IMPORTE CERTIFICACIÓN</t>
  </si>
  <si>
    <r>
      <t xml:space="preserve">REMANENTE
</t>
    </r>
    <r>
      <rPr>
        <b/>
        <sz val="8"/>
        <rFont val="Arial"/>
        <family val="2"/>
      </rPr>
      <t xml:space="preserve"> O PENDIENTE DE CERTIFICAR</t>
    </r>
  </si>
  <si>
    <t>ADICIONAL DE 
LIQUIDACION POR 
OBRA TOTAL</t>
  </si>
  <si>
    <t>OJO! UNA VEZ INTRODUCIDAS LAS CERTIFICACIONES, VUELVA A LA HOJA "INICIO", COMPRUEBE TODOS LOS DATOS Y PULSE EL BOTON "CALCULAR LA REVISIÓN"</t>
  </si>
  <si>
    <t>Coeficientes de la fórmulas tipo aplicables a la revisión</t>
  </si>
  <si>
    <t>PRIMERA fórmula de revisión</t>
  </si>
  <si>
    <t>SEGUNDA fórmula de revisión</t>
  </si>
  <si>
    <t>Indices iniciales (de referencia)</t>
  </si>
  <si>
    <t>CÁLCULO DEL COEFICIENTE MEDIO</t>
  </si>
  <si>
    <t>Revisión de precios del 
Saldo de Liquidación</t>
  </si>
  <si>
    <r>
      <t>GENERALITAT VALENCIANA</t>
    </r>
    <r>
      <rPr>
        <b/>
        <sz val="6"/>
        <color indexed="47"/>
        <rFont val="Arial"/>
        <family val="2"/>
      </rPr>
      <t xml:space="preserve">   </t>
    </r>
  </si>
  <si>
    <t>Fecha de licitación</t>
  </si>
  <si>
    <t>Fecha de adjudicación</t>
  </si>
  <si>
    <t>Fecha de publicación convocatoria</t>
  </si>
  <si>
    <t>Fórmula de revisión nº1</t>
  </si>
  <si>
    <t>Fórmula de revisión nº2</t>
  </si>
  <si>
    <t>Indices iniciales</t>
  </si>
  <si>
    <t>CORRESPONDIENTE PRIMERA FÓRM.</t>
  </si>
  <si>
    <t>SELECCIONAR FÓRMULAS TIPO</t>
  </si>
  <si>
    <t>TOTAL LÍQ. OBRA EJECUTADA</t>
  </si>
  <si>
    <t>PRIMERA fórmula</t>
  </si>
  <si>
    <t>NOMBRE</t>
  </si>
  <si>
    <t>CERTIFICACIONES</t>
  </si>
  <si>
    <t>MENSUAL TOTAL</t>
  </si>
  <si>
    <t>Nota: en el caso de que haya más de 44 certificaciones con derecho a revisión debe imprimirse la Revisión de Precios completa, con el botón IMPRIMIR REVISIÓN de la hoja de inicio, para visualizar todos los cálculos.</t>
  </si>
  <si>
    <t>CANTIDADES EXPRESADAS SIN IVA</t>
  </si>
  <si>
    <r>
      <rPr>
        <b/>
        <sz val="16"/>
        <color indexed="30"/>
        <rFont val="Arial"/>
        <family val="2"/>
      </rPr>
      <t>Fórmulas para la revisión de precios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>aprobadas por el Decreto 3.650/1970, de 19 de diciembre y por el R.D. 2.167 de 20 de agosto de 1981</t>
    </r>
  </si>
  <si>
    <r>
      <t xml:space="preserve">RELLENAR </t>
    </r>
    <r>
      <rPr>
        <b/>
        <sz val="10"/>
        <color indexed="55"/>
        <rFont val="Arial"/>
        <family val="2"/>
      </rPr>
      <t>SOLO</t>
    </r>
    <r>
      <rPr>
        <sz val="10"/>
        <color indexed="55"/>
        <rFont val="Arial"/>
        <family val="2"/>
      </rPr>
      <t xml:space="preserve"> CASILLAS </t>
    </r>
    <r>
      <rPr>
        <b/>
        <sz val="10"/>
        <color indexed="55"/>
        <rFont val="Arial"/>
        <family val="2"/>
      </rPr>
      <t>BLANCAS</t>
    </r>
  </si>
  <si>
    <t>NOTA</t>
  </si>
  <si>
    <t>Introduzca el título y clave de la obra</t>
  </si>
  <si>
    <t>nota: A PARTIR DE AGO-13 TODOS LOS ÍNDICES, EXCEPTO EL DE MANO DE OBRA SE CALCULAN A PARTIR DE LOS ÍNDICES PUBLICADOS EN BASE DIC-11 Y LOS COEFICIENTES DE ENLACE.</t>
  </si>
  <si>
    <t>PUBLICADOS EN BOE HASTA JULIO 2013 (INCLUSIVE). A PARTIR DE DICHA FECHA SE CALCULAN A TRAVÉS DE LOS COEFICIENTES DE ENLACE CON LOS ÍNDICES PUBLICADOS EN BOE BASE DIC-11, EXCEPTO LA MANO DE OBRA</t>
  </si>
  <si>
    <r>
      <t xml:space="preserve">ESTA VERSIÓN DE REVIPRE </t>
    </r>
    <r>
      <rPr>
        <b/>
        <sz val="8"/>
        <color indexed="10"/>
        <rFont val="Arial"/>
        <family val="2"/>
      </rPr>
      <t>SOLO ES VÁLIDA PARA OBRAS LICITADAS HASTA EL 25 DE DICIEMBRE DE 2011</t>
    </r>
    <r>
      <rPr>
        <sz val="6"/>
        <rFont val="Arial"/>
        <family val="2"/>
      </rPr>
      <t xml:space="preserve">, INCLUSIVE. PARA OBRAS LICITADAS A PARTIR DEL 25 DE DICIEMBRE DE 2011 </t>
    </r>
    <r>
      <rPr>
        <sz val="6"/>
        <color indexed="10"/>
        <rFont val="Arial"/>
        <family val="2"/>
      </rPr>
      <t>DESCARGUE LA VERSIÓN REVIPRE1359</t>
    </r>
    <r>
      <rPr>
        <sz val="6"/>
        <rFont val="Arial"/>
        <family val="2"/>
      </rPr>
      <t xml:space="preserve"> QUE INCLUYE LAS NUEVAS FÓRMULAS DE REVISIÓN DE PRECIOS</t>
    </r>
  </si>
  <si>
    <t>SOTSSECRETARIA</t>
  </si>
  <si>
    <t>SERVEI DE SUPERVISIÓ DE PROJECTES I COORDINACIÓ TÉCNICA</t>
  </si>
  <si>
    <t>CONSELLERIA D'HABITATGE, OBRES PÚBLIQUES I VERTEBRACIÓ DEL TERRITORI</t>
  </si>
  <si>
    <t>LCSP del 2008</t>
  </si>
  <si>
    <t>Reglamento 2001</t>
  </si>
  <si>
    <t>asdasd3413,4</t>
  </si>
  <si>
    <r>
      <t xml:space="preserve">VERSIÓN 1.21 </t>
    </r>
    <r>
      <rPr>
        <sz val="7"/>
        <color indexed="18"/>
        <rFont val="Arial"/>
        <family val="2"/>
      </rPr>
      <t>(ACTUALIZ.: 08/01/2021)</t>
    </r>
  </si>
  <si>
    <t>ULTIMOS ÍNDICES: JUN. 2020</t>
  </si>
  <si>
    <t>SERVEI DE SUPERVISIÓ DE INFRAESTRUCTURAS Y GESTIÓN ENERGÉTICA</t>
  </si>
  <si>
    <r>
      <t>GENERALITAT VALENCIANA</t>
    </r>
    <r>
      <rPr>
        <b/>
        <sz val="6"/>
        <rFont val="Arial"/>
        <family val="2"/>
      </rPr>
      <t xml:space="preserve">    </t>
    </r>
    <r>
      <rPr>
        <sz val="6"/>
        <rFont val="Arial"/>
        <family val="2"/>
      </rPr>
      <t xml:space="preserve">                                                                 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CONSELLERIA DE POLITICA TERRITORIAL, OBRAS PÚBLICAS Y MOVILIDAD</t>
    </r>
  </si>
  <si>
    <t>SERVICIO DE SUPERVISIÓN DE PROYECTOS</t>
  </si>
  <si>
    <t>CPTOPM</t>
  </si>
  <si>
    <t>SERVEI DE SUPERVISIÓ DE PROJECTES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</si>
</sst>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d\-m\-yy"/>
    <numFmt numFmtId="190" formatCode="0.000000000"/>
    <numFmt numFmtId="191" formatCode="0.000000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mmm\-yyyy"/>
    <numFmt numFmtId="197" formatCode="_-* #,##0.00\ [$€]_-;\-* #,##0.00\ [$€]_-;_-* &quot;-&quot;??\ [$€]_-;_-@_-"/>
    <numFmt numFmtId="198" formatCode="_-* #,##0.00\ [$€-42D]_-;\-* #,##0.00\ [$€-42D]_-;_-* &quot;-&quot;??\ [$€-42D]_-;_-@_-"/>
    <numFmt numFmtId="199" formatCode="mmmm\-yy"/>
    <numFmt numFmtId="200" formatCode="#,##0.00_ ;\-#,##0.00\ "/>
    <numFmt numFmtId="201" formatCode="_-* #,##0.0000000000\ &quot;pta&quot;_-;\-* #,##0.0000000000\ &quot;pta&quot;_-;_-* &quot;-&quot;??????????\ &quot;pta&quot;_-;_-@_-"/>
    <numFmt numFmtId="202" formatCode="#,##0.00\ _p_t_a"/>
    <numFmt numFmtId="203" formatCode="0.0000"/>
    <numFmt numFmtId="204" formatCode="0.00000"/>
    <numFmt numFmtId="205" formatCode="0.000000"/>
    <numFmt numFmtId="206" formatCode="0.0000000"/>
    <numFmt numFmtId="207" formatCode="d/m/yy"/>
    <numFmt numFmtId="208" formatCode="#,##0.00\ _€"/>
    <numFmt numFmtId="209" formatCode="#,##0.00\ &quot;€&quot;"/>
    <numFmt numFmtId="210" formatCode="[$-C0A]dddd\,\ dd&quot; de &quot;mmmm&quot; de &quot;yyyy"/>
    <numFmt numFmtId="211" formatCode="[$-C0A]d\-mmm\-yy;@"/>
    <numFmt numFmtId="212" formatCode="[$-C0A]mmm\-yy;@"/>
    <numFmt numFmtId="213" formatCode="[$-C0A]mmmm\-yy;@"/>
    <numFmt numFmtId="214" formatCode="0.00000000000"/>
    <numFmt numFmtId="215" formatCode="0.000000000000"/>
    <numFmt numFmtId="216" formatCode="0.00000000"/>
    <numFmt numFmtId="217" formatCode="[$-40A]dddd\,\ dd&quot; de &quot;mmmm&quot; de &quot;yyyy"/>
    <numFmt numFmtId="218" formatCode="dd\.mm\.yyyy;@"/>
    <numFmt numFmtId="219" formatCode="dd\.mm\.yyyy"/>
    <numFmt numFmtId="220" formatCode="0.0%"/>
    <numFmt numFmtId="221" formatCode="0.000%"/>
    <numFmt numFmtId="222" formatCode="0.0000%"/>
    <numFmt numFmtId="223" formatCode="0.00000%"/>
    <numFmt numFmtId="224" formatCode="0.000000%"/>
  </numFmts>
  <fonts count="1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sz val="10"/>
      <color indexed="48"/>
      <name val="Arial"/>
      <family val="2"/>
    </font>
    <font>
      <b/>
      <i/>
      <sz val="14"/>
      <name val="Arial"/>
      <family val="2"/>
    </font>
    <font>
      <b/>
      <sz val="10"/>
      <color indexed="16"/>
      <name val="Arial"/>
      <family val="2"/>
    </font>
    <font>
      <b/>
      <sz val="12"/>
      <color indexed="8"/>
      <name val="Arial"/>
      <family val="2"/>
    </font>
    <font>
      <sz val="4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sz val="12"/>
      <color indexed="48"/>
      <name val="Arial"/>
      <family val="2"/>
    </font>
    <font>
      <b/>
      <sz val="6"/>
      <name val="Arial"/>
      <family val="2"/>
    </font>
    <font>
      <b/>
      <sz val="26"/>
      <name val="Arial"/>
      <family val="2"/>
    </font>
    <font>
      <i/>
      <sz val="9"/>
      <name val="Arial"/>
      <family val="2"/>
    </font>
    <font>
      <b/>
      <sz val="14"/>
      <color indexed="58"/>
      <name val="Arial"/>
      <family val="2"/>
    </font>
    <font>
      <b/>
      <sz val="14"/>
      <name val="Arial"/>
      <family val="2"/>
    </font>
    <font>
      <b/>
      <sz val="8"/>
      <name val="Verdana"/>
      <family val="2"/>
    </font>
    <font>
      <sz val="16"/>
      <color indexed="16"/>
      <name val="Arial"/>
      <family val="2"/>
    </font>
    <font>
      <b/>
      <sz val="16"/>
      <color indexed="16"/>
      <name val="Arial"/>
      <family val="2"/>
    </font>
    <font>
      <b/>
      <u val="single"/>
      <sz val="12"/>
      <color indexed="9"/>
      <name val="Arial"/>
      <family val="2"/>
    </font>
    <font>
      <sz val="14"/>
      <color indexed="16"/>
      <name val="Arial"/>
      <family val="2"/>
    </font>
    <font>
      <b/>
      <sz val="6"/>
      <color indexed="47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Tahoma"/>
      <family val="2"/>
    </font>
    <font>
      <sz val="5"/>
      <name val="Arial"/>
      <family val="2"/>
    </font>
    <font>
      <sz val="7"/>
      <name val="Arial"/>
      <family val="2"/>
    </font>
    <font>
      <b/>
      <sz val="16"/>
      <color indexed="30"/>
      <name val="Arial"/>
      <family val="2"/>
    </font>
    <font>
      <sz val="7"/>
      <color indexed="18"/>
      <name val="Arial"/>
      <family val="2"/>
    </font>
    <font>
      <sz val="9"/>
      <name val="Tahoma"/>
      <family val="2"/>
    </font>
    <font>
      <sz val="6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22"/>
      <name val="Arial"/>
      <family val="2"/>
    </font>
    <font>
      <sz val="5"/>
      <color indexed="9"/>
      <name val="Arial"/>
      <family val="2"/>
    </font>
    <font>
      <sz val="9"/>
      <color indexed="23"/>
      <name val="Arial"/>
      <family val="2"/>
    </font>
    <font>
      <b/>
      <sz val="9"/>
      <color indexed="47"/>
      <name val="Arial"/>
      <family val="2"/>
    </font>
    <font>
      <sz val="6"/>
      <color indexed="47"/>
      <name val="Arial"/>
      <family val="2"/>
    </font>
    <font>
      <b/>
      <sz val="12"/>
      <color indexed="47"/>
      <name val="Arial"/>
      <family val="2"/>
    </font>
    <font>
      <b/>
      <sz val="12"/>
      <color indexed="22"/>
      <name val="Arial"/>
      <family val="2"/>
    </font>
    <font>
      <sz val="12"/>
      <color indexed="23"/>
      <name val="Arial"/>
      <family val="2"/>
    </font>
    <font>
      <b/>
      <sz val="14"/>
      <color indexed="22"/>
      <name val="Arial"/>
      <family val="2"/>
    </font>
    <font>
      <sz val="10"/>
      <color indexed="47"/>
      <name val="Arial"/>
      <family val="2"/>
    </font>
    <font>
      <b/>
      <sz val="10"/>
      <color indexed="47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5"/>
      <color indexed="47"/>
      <name val="Arial"/>
      <family val="2"/>
    </font>
    <font>
      <b/>
      <sz val="16"/>
      <color indexed="22"/>
      <name val="Arial"/>
      <family val="2"/>
    </font>
    <font>
      <b/>
      <sz val="10"/>
      <color indexed="22"/>
      <name val="Arial"/>
      <family val="2"/>
    </font>
    <font>
      <sz val="3"/>
      <color indexed="9"/>
      <name val="Arial"/>
      <family val="2"/>
    </font>
    <font>
      <sz val="1"/>
      <color indexed="47"/>
      <name val="Arial"/>
      <family val="2"/>
    </font>
    <font>
      <sz val="1"/>
      <color indexed="9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4"/>
      <color indexed="23"/>
      <name val="Arial"/>
      <family val="2"/>
    </font>
    <font>
      <b/>
      <sz val="12"/>
      <color indexed="55"/>
      <name val="Arial"/>
      <family val="2"/>
    </font>
    <font>
      <b/>
      <sz val="10"/>
      <color indexed="10"/>
      <name val="Arial"/>
      <family val="2"/>
    </font>
    <font>
      <u val="single"/>
      <sz val="72"/>
      <color indexed="23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23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55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9"/>
      <color indexed="55"/>
      <name val="Arial"/>
      <family val="2"/>
    </font>
    <font>
      <b/>
      <sz val="8"/>
      <color indexed="47"/>
      <name val="Arial"/>
      <family val="2"/>
    </font>
    <font>
      <sz val="9"/>
      <color indexed="47"/>
      <name val="Arial"/>
      <family val="2"/>
    </font>
    <font>
      <sz val="14"/>
      <color indexed="10"/>
      <name val="Arial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9"/>
      <color indexed="22"/>
      <name val="Arial"/>
      <family val="2"/>
    </font>
    <font>
      <sz val="8"/>
      <color indexed="23"/>
      <name val="Arial"/>
      <family val="2"/>
    </font>
    <font>
      <b/>
      <sz val="18"/>
      <color indexed="22"/>
      <name val="Arial"/>
      <family val="2"/>
    </font>
    <font>
      <b/>
      <sz val="9"/>
      <color indexed="23"/>
      <name val="Arial"/>
      <family val="2"/>
    </font>
    <font>
      <b/>
      <sz val="16"/>
      <color indexed="47"/>
      <name val="Arial"/>
      <family val="2"/>
    </font>
    <font>
      <sz val="16"/>
      <color indexed="22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Arial"/>
      <family val="2"/>
    </font>
    <font>
      <b/>
      <sz val="12"/>
      <color indexed="40"/>
      <name val="Arial"/>
      <family val="2"/>
    </font>
    <font>
      <b/>
      <sz val="12"/>
      <color indexed="40"/>
      <name val="Verdana"/>
      <family val="2"/>
    </font>
    <font>
      <b/>
      <sz val="12"/>
      <color indexed="30"/>
      <name val="Arial"/>
      <family val="2"/>
    </font>
    <font>
      <b/>
      <sz val="16"/>
      <color indexed="40"/>
      <name val="Arial"/>
      <family val="2"/>
    </font>
    <font>
      <b/>
      <sz val="11"/>
      <color indexed="40"/>
      <name val="Arial"/>
      <family val="2"/>
    </font>
    <font>
      <b/>
      <sz val="9"/>
      <color indexed="40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b/>
      <sz val="14"/>
      <color rgb="FF00B0F0"/>
      <name val="Arial"/>
      <family val="2"/>
    </font>
    <font>
      <b/>
      <sz val="12"/>
      <color rgb="FF00B0F0"/>
      <name val="Arial"/>
      <family val="2"/>
    </font>
    <font>
      <b/>
      <sz val="12"/>
      <color rgb="FF00B0F0"/>
      <name val="Verdana"/>
      <family val="2"/>
    </font>
    <font>
      <b/>
      <sz val="12"/>
      <color rgb="FF0070C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00B0F0"/>
      <name val="Arial"/>
      <family val="2"/>
    </font>
    <font>
      <b/>
      <sz val="16"/>
      <color rgb="FF00B0F0"/>
      <name val="Arial"/>
      <family val="2"/>
    </font>
    <font>
      <b/>
      <sz val="14"/>
      <color rgb="FF0070C0"/>
      <name val="Arial"/>
      <family val="2"/>
    </font>
    <font>
      <b/>
      <sz val="9"/>
      <color rgb="FF00B0F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lightDown">
        <fgColor indexed="47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lightDown">
        <fgColor indexed="47"/>
        <bgColor rgb="FFFFFF00"/>
      </patternFill>
    </fill>
    <fill>
      <patternFill patternType="solid">
        <fgColor indexed="1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47"/>
      </left>
      <right>
        <color indexed="63"/>
      </right>
      <top style="thin">
        <color indexed="47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47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medium">
        <color indexed="47"/>
      </left>
      <right>
        <color indexed="63"/>
      </right>
      <top style="medium">
        <color indexed="47"/>
      </top>
      <bottom>
        <color indexed="63"/>
      </bottom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>
        <color indexed="63"/>
      </left>
      <right style="medium">
        <color indexed="47"/>
      </right>
      <top style="medium">
        <color indexed="47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8" fillId="20" borderId="0" applyNumberFormat="0" applyBorder="0" applyAlignment="0" applyProtection="0"/>
    <xf numFmtId="0" fontId="139" fillId="21" borderId="1" applyNumberFormat="0" applyAlignment="0" applyProtection="0"/>
    <xf numFmtId="0" fontId="140" fillId="22" borderId="2" applyNumberFormat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0" applyNumberFormat="0" applyFill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7" fillId="26" borderId="0" applyNumberFormat="0" applyBorder="0" applyAlignment="0" applyProtection="0"/>
    <xf numFmtId="0" fontId="137" fillId="27" borderId="0" applyNumberFormat="0" applyBorder="0" applyAlignment="0" applyProtection="0"/>
    <xf numFmtId="0" fontId="137" fillId="28" borderId="0" applyNumberFormat="0" applyBorder="0" applyAlignment="0" applyProtection="0"/>
    <xf numFmtId="0" fontId="144" fillId="29" borderId="1" applyNumberFormat="0" applyAlignment="0" applyProtection="0"/>
    <xf numFmtId="19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6" fillId="31" borderId="0" applyNumberFormat="0" applyBorder="0" applyAlignment="0" applyProtection="0"/>
    <xf numFmtId="0" fontId="0" fillId="0" borderId="0">
      <alignment/>
      <protection/>
    </xf>
    <xf numFmtId="0" fontId="1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47" fillId="21" borderId="6" applyNumberFormat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7" applyNumberFormat="0" applyFill="0" applyAlignment="0" applyProtection="0"/>
    <xf numFmtId="0" fontId="143" fillId="0" borderId="8" applyNumberFormat="0" applyFill="0" applyAlignment="0" applyProtection="0"/>
    <xf numFmtId="0" fontId="152" fillId="0" borderId="9" applyNumberFormat="0" applyFill="0" applyAlignment="0" applyProtection="0"/>
  </cellStyleXfs>
  <cellXfs count="7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99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9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17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center"/>
    </xf>
    <xf numFmtId="17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6" borderId="0" xfId="0" applyFill="1" applyAlignment="1">
      <alignment/>
    </xf>
    <xf numFmtId="0" fontId="0" fillId="35" borderId="19" xfId="0" applyFill="1" applyBorder="1" applyAlignment="1">
      <alignment/>
    </xf>
    <xf numFmtId="0" fontId="0" fillId="37" borderId="11" xfId="0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6" borderId="20" xfId="0" applyFill="1" applyBorder="1" applyAlignment="1" applyProtection="1">
      <alignment/>
      <protection locked="0"/>
    </xf>
    <xf numFmtId="17" fontId="0" fillId="34" borderId="25" xfId="0" applyNumberForma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0" xfId="0" applyFill="1" applyAlignment="1">
      <alignment horizontal="right"/>
    </xf>
    <xf numFmtId="4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4" fontId="0" fillId="33" borderId="20" xfId="0" applyNumberForma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12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1" fontId="0" fillId="33" borderId="0" xfId="0" applyNumberFormat="1" applyFont="1" applyFill="1" applyAlignment="1">
      <alignment/>
    </xf>
    <xf numFmtId="0" fontId="0" fillId="34" borderId="0" xfId="0" applyFill="1" applyAlignment="1" applyProtection="1">
      <alignment/>
      <protection/>
    </xf>
    <xf numFmtId="2" fontId="0" fillId="34" borderId="0" xfId="0" applyNumberFormat="1" applyFont="1" applyFill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Alignment="1" applyProtection="1">
      <alignment/>
      <protection/>
    </xf>
    <xf numFmtId="14" fontId="0" fillId="34" borderId="0" xfId="0" applyNumberFormat="1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2" fontId="0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91" fontId="0" fillId="34" borderId="0" xfId="0" applyNumberFormat="1" applyFill="1" applyBorder="1" applyAlignment="1" applyProtection="1">
      <alignment horizontal="center"/>
      <protection/>
    </xf>
    <xf numFmtId="17" fontId="0" fillId="34" borderId="0" xfId="0" applyNumberForma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33" fillId="34" borderId="0" xfId="0" applyFont="1" applyFill="1" applyBorder="1" applyAlignment="1" applyProtection="1">
      <alignment horizontal="center" vertical="center" wrapText="1"/>
      <protection/>
    </xf>
    <xf numFmtId="0" fontId="35" fillId="38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17" xfId="0" applyFont="1" applyFill="1" applyBorder="1" applyAlignment="1">
      <alignment/>
    </xf>
    <xf numFmtId="0" fontId="1" fillId="38" borderId="28" xfId="0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/>
    </xf>
    <xf numFmtId="0" fontId="0" fillId="38" borderId="28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8" borderId="29" xfId="0" applyFont="1" applyFill="1" applyBorder="1" applyAlignment="1">
      <alignment/>
    </xf>
    <xf numFmtId="0" fontId="0" fillId="36" borderId="3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36" borderId="31" xfId="0" applyFont="1" applyFill="1" applyBorder="1" applyAlignment="1" applyProtection="1">
      <alignment/>
      <protection locked="0"/>
    </xf>
    <xf numFmtId="0" fontId="0" fillId="36" borderId="32" xfId="0" applyFont="1" applyFill="1" applyBorder="1" applyAlignment="1" applyProtection="1">
      <alignment/>
      <protection locked="0"/>
    </xf>
    <xf numFmtId="0" fontId="0" fillId="36" borderId="0" xfId="0" applyFont="1" applyFill="1" applyAlignment="1">
      <alignment/>
    </xf>
    <xf numFmtId="0" fontId="0" fillId="39" borderId="22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0" fillId="39" borderId="33" xfId="0" applyFont="1" applyFill="1" applyBorder="1" applyAlignment="1" applyProtection="1">
      <alignment horizontal="center"/>
      <protection locked="0"/>
    </xf>
    <xf numFmtId="0" fontId="0" fillId="39" borderId="10" xfId="0" applyFont="1" applyFill="1" applyBorder="1" applyAlignment="1" applyProtection="1">
      <alignment horizontal="center"/>
      <protection locked="0"/>
    </xf>
    <xf numFmtId="0" fontId="0" fillId="39" borderId="10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1" fillId="39" borderId="22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0" fillId="39" borderId="34" xfId="0" applyFont="1" applyFill="1" applyBorder="1" applyAlignment="1" applyProtection="1">
      <alignment horizontal="center"/>
      <protection locked="0"/>
    </xf>
    <xf numFmtId="1" fontId="0" fillId="39" borderId="35" xfId="0" applyNumberFormat="1" applyFont="1" applyFill="1" applyBorder="1" applyAlignment="1" applyProtection="1">
      <alignment/>
      <protection locked="0"/>
    </xf>
    <xf numFmtId="0" fontId="0" fillId="39" borderId="36" xfId="0" applyFont="1" applyFill="1" applyBorder="1" applyAlignment="1" applyProtection="1">
      <alignment/>
      <protection locked="0"/>
    </xf>
    <xf numFmtId="0" fontId="0" fillId="39" borderId="37" xfId="0" applyFont="1" applyFill="1" applyBorder="1" applyAlignment="1" applyProtection="1">
      <alignment/>
      <protection locked="0"/>
    </xf>
    <xf numFmtId="0" fontId="0" fillId="39" borderId="38" xfId="0" applyFont="1" applyFill="1" applyBorder="1" applyAlignment="1" applyProtection="1">
      <alignment/>
      <protection locked="0"/>
    </xf>
    <xf numFmtId="0" fontId="0" fillId="39" borderId="39" xfId="0" applyFont="1" applyFill="1" applyBorder="1" applyAlignment="1" applyProtection="1">
      <alignment/>
      <protection locked="0"/>
    </xf>
    <xf numFmtId="0" fontId="0" fillId="39" borderId="34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1" fillId="39" borderId="40" xfId="0" applyFont="1" applyFill="1" applyBorder="1" applyAlignment="1" applyProtection="1">
      <alignment horizontal="center"/>
      <protection locked="0"/>
    </xf>
    <xf numFmtId="0" fontId="0" fillId="39" borderId="41" xfId="0" applyFont="1" applyFill="1" applyBorder="1" applyAlignment="1" applyProtection="1">
      <alignment horizontal="center"/>
      <protection locked="0"/>
    </xf>
    <xf numFmtId="0" fontId="0" fillId="39" borderId="12" xfId="0" applyFont="1" applyFill="1" applyBorder="1" applyAlignment="1" applyProtection="1">
      <alignment horizontal="center"/>
      <protection locked="0"/>
    </xf>
    <xf numFmtId="0" fontId="0" fillId="39" borderId="1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4" borderId="0" xfId="0" applyFont="1" applyFill="1" applyAlignment="1">
      <alignment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213" fontId="17" fillId="33" borderId="2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ill="1" applyBorder="1" applyAlignment="1" applyProtection="1">
      <alignment horizontal="center"/>
      <protection/>
    </xf>
    <xf numFmtId="17" fontId="0" fillId="0" borderId="0" xfId="0" applyNumberFormat="1" applyFill="1" applyBorder="1" applyAlignment="1" applyProtection="1">
      <alignment/>
      <protection/>
    </xf>
    <xf numFmtId="0" fontId="39" fillId="34" borderId="0" xfId="0" applyFont="1" applyFill="1" applyAlignment="1" applyProtection="1">
      <alignment horizontal="center" vertical="center"/>
      <protection/>
    </xf>
    <xf numFmtId="0" fontId="0" fillId="40" borderId="0" xfId="0" applyFont="1" applyFill="1" applyAlignment="1">
      <alignment/>
    </xf>
    <xf numFmtId="0" fontId="60" fillId="0" borderId="0" xfId="0" applyFont="1" applyAlignment="1">
      <alignment/>
    </xf>
    <xf numFmtId="0" fontId="56" fillId="34" borderId="0" xfId="0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 vertical="top"/>
    </xf>
    <xf numFmtId="0" fontId="56" fillId="34" borderId="0" xfId="0" applyFont="1" applyFill="1" applyBorder="1" applyAlignment="1" applyProtection="1">
      <alignment horizontal="right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/>
    </xf>
    <xf numFmtId="0" fontId="30" fillId="40" borderId="0" xfId="47" applyFont="1" applyFill="1" applyBorder="1" applyAlignment="1" applyProtection="1">
      <alignment horizontal="center"/>
      <protection/>
    </xf>
    <xf numFmtId="0" fontId="0" fillId="40" borderId="0" xfId="47" applyFont="1" applyFill="1" applyBorder="1" applyAlignment="1" applyProtection="1">
      <alignment horizontal="center"/>
      <protection/>
    </xf>
    <xf numFmtId="0" fontId="61" fillId="34" borderId="0" xfId="0" applyFont="1" applyFill="1" applyBorder="1" applyAlignment="1">
      <alignment/>
    </xf>
    <xf numFmtId="0" fontId="62" fillId="41" borderId="0" xfId="0" applyFont="1" applyFill="1" applyAlignment="1">
      <alignment/>
    </xf>
    <xf numFmtId="4" fontId="8" fillId="34" borderId="0" xfId="0" applyNumberFormat="1" applyFont="1" applyFill="1" applyBorder="1" applyAlignment="1">
      <alignment horizontal="left" vertical="center"/>
    </xf>
    <xf numFmtId="0" fontId="11" fillId="34" borderId="0" xfId="47" applyFont="1" applyFill="1" applyBorder="1" applyAlignment="1" applyProtection="1">
      <alignment horizontal="center" vertical="center"/>
      <protection/>
    </xf>
    <xf numFmtId="4" fontId="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11" fillId="34" borderId="10" xfId="47" applyFont="1" applyFill="1" applyBorder="1" applyAlignment="1" applyProtection="1">
      <alignment horizontal="center" vertical="center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199" fontId="63" fillId="40" borderId="0" xfId="0" applyNumberFormat="1" applyFont="1" applyFill="1" applyBorder="1" applyAlignment="1">
      <alignment horizontal="right"/>
    </xf>
    <xf numFmtId="0" fontId="63" fillId="40" borderId="0" xfId="0" applyFont="1" applyFill="1" applyBorder="1" applyAlignment="1">
      <alignment horizontal="right"/>
    </xf>
    <xf numFmtId="4" fontId="18" fillId="42" borderId="0" xfId="0" applyNumberFormat="1" applyFont="1" applyFill="1" applyBorder="1" applyAlignment="1" applyProtection="1">
      <alignment horizontal="right"/>
      <protection locked="0"/>
    </xf>
    <xf numFmtId="4" fontId="6" fillId="34" borderId="0" xfId="0" applyNumberFormat="1" applyFont="1" applyFill="1" applyBorder="1" applyAlignment="1" applyProtection="1">
      <alignment horizontal="right" wrapText="1"/>
      <protection locked="0"/>
    </xf>
    <xf numFmtId="0" fontId="0" fillId="34" borderId="10" xfId="0" applyFill="1" applyBorder="1" applyAlignment="1" applyProtection="1">
      <alignment/>
      <protection/>
    </xf>
    <xf numFmtId="0" fontId="20" fillId="34" borderId="1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40" borderId="0" xfId="0" applyFill="1" applyAlignment="1" applyProtection="1">
      <alignment/>
      <protection locked="0"/>
    </xf>
    <xf numFmtId="0" fontId="0" fillId="40" borderId="10" xfId="0" applyFill="1" applyBorder="1" applyAlignment="1" applyProtection="1">
      <alignment/>
      <protection locked="0"/>
    </xf>
    <xf numFmtId="2" fontId="18" fillId="40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5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vertical="center" wrapText="1"/>
      <protection locked="0"/>
    </xf>
    <xf numFmtId="0" fontId="6" fillId="40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1" fillId="34" borderId="0" xfId="0" applyFont="1" applyFill="1" applyBorder="1" applyAlignment="1">
      <alignment horizontal="center"/>
    </xf>
    <xf numFmtId="2" fontId="0" fillId="33" borderId="0" xfId="0" applyNumberFormat="1" applyFon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0" fontId="0" fillId="40" borderId="0" xfId="0" applyFill="1" applyBorder="1" applyAlignment="1" applyProtection="1">
      <alignment/>
      <protection locked="0"/>
    </xf>
    <xf numFmtId="0" fontId="7" fillId="40" borderId="0" xfId="0" applyFont="1" applyFill="1" applyBorder="1" applyAlignment="1" applyProtection="1">
      <alignment horizontal="center"/>
      <protection locked="0"/>
    </xf>
    <xf numFmtId="0" fontId="6" fillId="40" borderId="0" xfId="0" applyFont="1" applyFill="1" applyBorder="1" applyAlignment="1" applyProtection="1">
      <alignment horizontal="center"/>
      <protection locked="0"/>
    </xf>
    <xf numFmtId="0" fontId="64" fillId="34" borderId="0" xfId="0" applyFont="1" applyFill="1" applyBorder="1" applyAlignment="1">
      <alignment vertical="top" wrapText="1"/>
    </xf>
    <xf numFmtId="0" fontId="65" fillId="34" borderId="0" xfId="0" applyFont="1" applyFill="1" applyAlignment="1">
      <alignment wrapText="1"/>
    </xf>
    <xf numFmtId="0" fontId="66" fillId="34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4" fillId="34" borderId="10" xfId="0" applyFont="1" applyFill="1" applyBorder="1" applyAlignment="1">
      <alignment vertical="top" wrapText="1"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" fontId="18" fillId="40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4" fontId="20" fillId="40" borderId="44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61" fillId="33" borderId="0" xfId="0" applyFont="1" applyFill="1" applyAlignment="1">
      <alignment/>
    </xf>
    <xf numFmtId="14" fontId="0" fillId="34" borderId="0" xfId="0" applyNumberFormat="1" applyFont="1" applyFill="1" applyBorder="1" applyAlignment="1" applyProtection="1">
      <alignment horizontal="center"/>
      <protection/>
    </xf>
    <xf numFmtId="0" fontId="67" fillId="34" borderId="0" xfId="0" applyFont="1" applyFill="1" applyBorder="1" applyAlignment="1" applyProtection="1">
      <alignment horizontal="center"/>
      <protection/>
    </xf>
    <xf numFmtId="2" fontId="67" fillId="34" borderId="0" xfId="0" applyNumberFormat="1" applyFont="1" applyFill="1" applyBorder="1" applyAlignment="1" applyProtection="1">
      <alignment horizontal="center"/>
      <protection/>
    </xf>
    <xf numFmtId="0" fontId="67" fillId="34" borderId="0" xfId="0" applyFont="1" applyFill="1" applyBorder="1" applyAlignment="1" applyProtection="1">
      <alignment horizontal="left"/>
      <protection/>
    </xf>
    <xf numFmtId="2" fontId="67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>
      <alignment horizontal="right"/>
    </xf>
    <xf numFmtId="0" fontId="68" fillId="34" borderId="0" xfId="0" applyFont="1" applyFill="1" applyBorder="1" applyAlignment="1" applyProtection="1">
      <alignment horizontal="left"/>
      <protection/>
    </xf>
    <xf numFmtId="2" fontId="68" fillId="34" borderId="0" xfId="0" applyNumberFormat="1" applyFont="1" applyFill="1" applyBorder="1" applyAlignment="1" applyProtection="1">
      <alignment horizontal="center"/>
      <protection/>
    </xf>
    <xf numFmtId="0" fontId="69" fillId="34" borderId="0" xfId="0" applyFont="1" applyFill="1" applyAlignment="1" applyProtection="1">
      <alignment horizontal="left" vertical="center"/>
      <protection/>
    </xf>
    <xf numFmtId="0" fontId="70" fillId="34" borderId="0" xfId="0" applyFont="1" applyFill="1" applyBorder="1" applyAlignment="1" applyProtection="1">
      <alignment horizontal="center"/>
      <protection/>
    </xf>
    <xf numFmtId="0" fontId="71" fillId="34" borderId="0" xfId="0" applyFont="1" applyFill="1" applyBorder="1" applyAlignment="1" applyProtection="1">
      <alignment horizontal="center"/>
      <protection/>
    </xf>
    <xf numFmtId="2" fontId="71" fillId="34" borderId="0" xfId="0" applyNumberFormat="1" applyFont="1" applyFill="1" applyBorder="1" applyAlignment="1" applyProtection="1">
      <alignment horizontal="center"/>
      <protection/>
    </xf>
    <xf numFmtId="0" fontId="72" fillId="34" borderId="0" xfId="0" applyFont="1" applyFill="1" applyBorder="1" applyAlignment="1" applyProtection="1">
      <alignment horizontal="center"/>
      <protection/>
    </xf>
    <xf numFmtId="2" fontId="72" fillId="34" borderId="0" xfId="0" applyNumberFormat="1" applyFont="1" applyFill="1" applyBorder="1" applyAlignment="1" applyProtection="1">
      <alignment horizontal="center"/>
      <protection/>
    </xf>
    <xf numFmtId="191" fontId="72" fillId="34" borderId="0" xfId="0" applyNumberFormat="1" applyFont="1" applyFill="1" applyBorder="1" applyAlignment="1" applyProtection="1">
      <alignment horizontal="center"/>
      <protection/>
    </xf>
    <xf numFmtId="17" fontId="72" fillId="34" borderId="0" xfId="0" applyNumberFormat="1" applyFont="1" applyFill="1" applyBorder="1" applyAlignment="1" applyProtection="1">
      <alignment/>
      <protection/>
    </xf>
    <xf numFmtId="0" fontId="20" fillId="40" borderId="0" xfId="0" applyFont="1" applyFill="1" applyBorder="1" applyAlignment="1" applyProtection="1">
      <alignment horizontal="center" vertical="top" wrapText="1"/>
      <protection/>
    </xf>
    <xf numFmtId="0" fontId="0" fillId="40" borderId="0" xfId="0" applyFill="1" applyBorder="1" applyAlignment="1">
      <alignment/>
    </xf>
    <xf numFmtId="0" fontId="37" fillId="40" borderId="0" xfId="0" applyFont="1" applyFill="1" applyBorder="1" applyAlignment="1">
      <alignment horizontal="center"/>
    </xf>
    <xf numFmtId="0" fontId="73" fillId="40" borderId="0" xfId="47" applyFont="1" applyFill="1" applyBorder="1" applyAlignment="1" applyProtection="1">
      <alignment horizontal="left"/>
      <protection/>
    </xf>
    <xf numFmtId="0" fontId="73" fillId="40" borderId="0" xfId="0" applyFont="1" applyFill="1" applyBorder="1" applyAlignment="1">
      <alignment horizontal="right"/>
    </xf>
    <xf numFmtId="0" fontId="22" fillId="40" borderId="0" xfId="0" applyFont="1" applyFill="1" applyBorder="1" applyAlignment="1" applyProtection="1">
      <alignment horizontal="center"/>
      <protection/>
    </xf>
    <xf numFmtId="0" fontId="38" fillId="40" borderId="0" xfId="0" applyFont="1" applyFill="1" applyBorder="1" applyAlignment="1" applyProtection="1">
      <alignment horizontal="center"/>
      <protection/>
    </xf>
    <xf numFmtId="0" fontId="7" fillId="40" borderId="0" xfId="0" applyFont="1" applyFill="1" applyBorder="1" applyAlignment="1" applyProtection="1">
      <alignment horizontal="left"/>
      <protection/>
    </xf>
    <xf numFmtId="0" fontId="7" fillId="40" borderId="0" xfId="0" applyFont="1" applyFill="1" applyBorder="1" applyAlignment="1" applyProtection="1">
      <alignment horizontal="center"/>
      <protection/>
    </xf>
    <xf numFmtId="0" fontId="9" fillId="40" borderId="0" xfId="0" applyFont="1" applyFill="1" applyBorder="1" applyAlignment="1" applyProtection="1">
      <alignment horizontal="center"/>
      <protection/>
    </xf>
    <xf numFmtId="2" fontId="9" fillId="40" borderId="0" xfId="0" applyNumberFormat="1" applyFont="1" applyFill="1" applyBorder="1" applyAlignment="1" applyProtection="1">
      <alignment horizontal="center"/>
      <protection/>
    </xf>
    <xf numFmtId="0" fontId="28" fillId="40" borderId="0" xfId="0" applyFont="1" applyFill="1" applyBorder="1" applyAlignment="1" applyProtection="1">
      <alignment horizontal="center"/>
      <protection/>
    </xf>
    <xf numFmtId="0" fontId="19" fillId="40" borderId="0" xfId="0" applyFont="1" applyFill="1" applyBorder="1" applyAlignment="1" applyProtection="1">
      <alignment horizontal="center"/>
      <protection/>
    </xf>
    <xf numFmtId="0" fontId="42" fillId="40" borderId="0" xfId="0" applyFont="1" applyFill="1" applyBorder="1" applyAlignment="1" applyProtection="1">
      <alignment horizontal="center"/>
      <protection/>
    </xf>
    <xf numFmtId="2" fontId="28" fillId="40" borderId="0" xfId="0" applyNumberFormat="1" applyFont="1" applyFill="1" applyBorder="1" applyAlignment="1" applyProtection="1">
      <alignment horizontal="center"/>
      <protection/>
    </xf>
    <xf numFmtId="2" fontId="19" fillId="40" borderId="0" xfId="0" applyNumberFormat="1" applyFont="1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/>
      <protection/>
    </xf>
    <xf numFmtId="0" fontId="22" fillId="40" borderId="0" xfId="0" applyFont="1" applyFill="1" applyBorder="1" applyAlignment="1" applyProtection="1">
      <alignment horizontal="center" wrapText="1"/>
      <protection/>
    </xf>
    <xf numFmtId="199" fontId="8" fillId="40" borderId="0" xfId="0" applyNumberFormat="1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 vertical="center"/>
    </xf>
    <xf numFmtId="4" fontId="63" fillId="40" borderId="0" xfId="0" applyNumberFormat="1" applyFont="1" applyFill="1" applyBorder="1" applyAlignment="1">
      <alignment horizontal="right"/>
    </xf>
    <xf numFmtId="0" fontId="74" fillId="40" borderId="0" xfId="0" applyFont="1" applyFill="1" applyBorder="1" applyAlignment="1">
      <alignment horizontal="center"/>
    </xf>
    <xf numFmtId="209" fontId="74" fillId="40" borderId="0" xfId="0" applyNumberFormat="1" applyFont="1" applyFill="1" applyBorder="1" applyAlignment="1">
      <alignment horizontal="center"/>
    </xf>
    <xf numFmtId="0" fontId="72" fillId="40" borderId="0" xfId="0" applyFont="1" applyFill="1" applyBorder="1" applyAlignment="1">
      <alignment horizontal="center"/>
    </xf>
    <xf numFmtId="0" fontId="75" fillId="40" borderId="0" xfId="0" applyFont="1" applyFill="1" applyBorder="1" applyAlignment="1" applyProtection="1">
      <alignment horizontal="center"/>
      <protection/>
    </xf>
    <xf numFmtId="4" fontId="73" fillId="40" borderId="0" xfId="0" applyNumberFormat="1" applyFont="1" applyFill="1" applyBorder="1" applyAlignment="1" applyProtection="1">
      <alignment horizontal="center" vertical="center"/>
      <protection/>
    </xf>
    <xf numFmtId="1" fontId="1" fillId="39" borderId="33" xfId="0" applyNumberFormat="1" applyFont="1" applyFill="1" applyBorder="1" applyAlignment="1" applyProtection="1">
      <alignment horizontal="center"/>
      <protection locked="0"/>
    </xf>
    <xf numFmtId="0" fontId="0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40" borderId="0" xfId="0" applyFont="1" applyFill="1" applyBorder="1" applyAlignment="1" applyProtection="1">
      <alignment/>
      <protection locked="0"/>
    </xf>
    <xf numFmtId="0" fontId="20" fillId="40" borderId="0" xfId="0" applyFont="1" applyFill="1" applyBorder="1" applyAlignment="1" applyProtection="1">
      <alignment horizontal="left"/>
      <protection locked="0"/>
    </xf>
    <xf numFmtId="0" fontId="0" fillId="40" borderId="10" xfId="0" applyFont="1" applyFill="1" applyBorder="1" applyAlignment="1" applyProtection="1">
      <alignment/>
      <protection locked="0"/>
    </xf>
    <xf numFmtId="2" fontId="1" fillId="33" borderId="0" xfId="0" applyNumberFormat="1" applyFont="1" applyFill="1" applyBorder="1" applyAlignment="1">
      <alignment horizontal="center"/>
    </xf>
    <xf numFmtId="17" fontId="18" fillId="33" borderId="0" xfId="0" applyNumberFormat="1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 horizontal="center"/>
    </xf>
    <xf numFmtId="17" fontId="20" fillId="33" borderId="44" xfId="0" applyNumberFormat="1" applyFont="1" applyFill="1" applyBorder="1" applyAlignment="1">
      <alignment horizontal="center"/>
    </xf>
    <xf numFmtId="14" fontId="20" fillId="33" borderId="44" xfId="0" applyNumberFormat="1" applyFont="1" applyFill="1" applyBorder="1" applyAlignment="1">
      <alignment horizontal="center"/>
    </xf>
    <xf numFmtId="2" fontId="18" fillId="40" borderId="0" xfId="0" applyNumberFormat="1" applyFont="1" applyFill="1" applyBorder="1" applyAlignment="1">
      <alignment horizontal="center"/>
    </xf>
    <xf numFmtId="17" fontId="0" fillId="40" borderId="0" xfId="0" applyNumberFormat="1" applyFont="1" applyFill="1" applyBorder="1" applyAlignment="1">
      <alignment horizontal="center" vertical="center"/>
    </xf>
    <xf numFmtId="3" fontId="0" fillId="40" borderId="0" xfId="0" applyNumberFormat="1" applyFont="1" applyFill="1" applyBorder="1" applyAlignment="1">
      <alignment horizontal="center" vertical="center"/>
    </xf>
    <xf numFmtId="4" fontId="0" fillId="40" borderId="0" xfId="0" applyNumberFormat="1" applyFont="1" applyFill="1" applyBorder="1" applyAlignment="1">
      <alignment vertical="center"/>
    </xf>
    <xf numFmtId="4" fontId="0" fillId="40" borderId="0" xfId="0" applyNumberFormat="1" applyFont="1" applyFill="1" applyBorder="1" applyAlignment="1">
      <alignment horizontal="right"/>
    </xf>
    <xf numFmtId="4" fontId="0" fillId="40" borderId="0" xfId="0" applyNumberFormat="1" applyFont="1" applyFill="1" applyBorder="1" applyAlignment="1">
      <alignment/>
    </xf>
    <xf numFmtId="0" fontId="0" fillId="40" borderId="19" xfId="0" applyFont="1" applyFill="1" applyBorder="1" applyAlignment="1">
      <alignment/>
    </xf>
    <xf numFmtId="2" fontId="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14" fontId="0" fillId="34" borderId="0" xfId="0" applyNumberFormat="1" applyFont="1" applyFill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57" fillId="34" borderId="0" xfId="0" applyFont="1" applyFill="1" applyBorder="1" applyAlignment="1" applyProtection="1">
      <alignment/>
      <protection locked="0"/>
    </xf>
    <xf numFmtId="0" fontId="57" fillId="34" borderId="0" xfId="0" applyFont="1" applyFill="1" applyBorder="1" applyAlignment="1" applyProtection="1">
      <alignment horizontal="center"/>
      <protection locked="0"/>
    </xf>
    <xf numFmtId="2" fontId="57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2" fontId="0" fillId="34" borderId="0" xfId="0" applyNumberFormat="1" applyFont="1" applyFill="1" applyBorder="1" applyAlignment="1" applyProtection="1">
      <alignment horizontal="left"/>
      <protection locked="0"/>
    </xf>
    <xf numFmtId="2" fontId="1" fillId="34" borderId="0" xfId="0" applyNumberFormat="1" applyFont="1" applyFill="1" applyBorder="1" applyAlignment="1" applyProtection="1">
      <alignment horizontal="right"/>
      <protection locked="0"/>
    </xf>
    <xf numFmtId="2" fontId="1" fillId="34" borderId="0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2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20" fillId="34" borderId="0" xfId="0" applyFont="1" applyFill="1" applyBorder="1" applyAlignment="1" applyProtection="1">
      <alignment horizontal="center"/>
      <protection locked="0"/>
    </xf>
    <xf numFmtId="2" fontId="20" fillId="34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91" fontId="18" fillId="34" borderId="0" xfId="0" applyNumberFormat="1" applyFont="1" applyFill="1" applyBorder="1" applyAlignment="1" applyProtection="1">
      <alignment horizontal="center"/>
      <protection locked="0"/>
    </xf>
    <xf numFmtId="17" fontId="18" fillId="34" borderId="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righ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2" fontId="0" fillId="34" borderId="10" xfId="0" applyNumberFormat="1" applyFont="1" applyFill="1" applyBorder="1" applyAlignment="1" applyProtection="1">
      <alignment horizontal="left"/>
      <protection locked="0"/>
    </xf>
    <xf numFmtId="191" fontId="0" fillId="34" borderId="10" xfId="0" applyNumberFormat="1" applyFont="1" applyFill="1" applyBorder="1" applyAlignment="1" applyProtection="1">
      <alignment horizontal="left"/>
      <protection locked="0"/>
    </xf>
    <xf numFmtId="17" fontId="0" fillId="34" borderId="10" xfId="0" applyNumberFormat="1" applyFont="1" applyFill="1" applyBorder="1" applyAlignment="1" applyProtection="1">
      <alignment/>
      <protection locked="0"/>
    </xf>
    <xf numFmtId="1" fontId="18" fillId="34" borderId="0" xfId="0" applyNumberFormat="1" applyFont="1" applyFill="1" applyBorder="1" applyAlignment="1" applyProtection="1">
      <alignment horizontal="center"/>
      <protection locked="0"/>
    </xf>
    <xf numFmtId="2" fontId="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/>
      <protection locked="0"/>
    </xf>
    <xf numFmtId="191" fontId="14" fillId="34" borderId="0" xfId="0" applyNumberFormat="1" applyFont="1" applyFill="1" applyBorder="1" applyAlignment="1" applyProtection="1">
      <alignment horizontal="center"/>
      <protection locked="0"/>
    </xf>
    <xf numFmtId="197" fontId="18" fillId="34" borderId="0" xfId="46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2" fontId="0" fillId="34" borderId="10" xfId="0" applyNumberFormat="1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/>
      <protection locked="0"/>
    </xf>
    <xf numFmtId="2" fontId="45" fillId="34" borderId="0" xfId="0" applyNumberFormat="1" applyFont="1" applyFill="1" applyBorder="1" applyAlignment="1" applyProtection="1">
      <alignment/>
      <protection locked="0"/>
    </xf>
    <xf numFmtId="2" fontId="0" fillId="34" borderId="0" xfId="0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191" fontId="9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/>
      <protection locked="0"/>
    </xf>
    <xf numFmtId="197" fontId="9" fillId="34" borderId="0" xfId="0" applyNumberFormat="1" applyFont="1" applyFill="1" applyBorder="1" applyAlignment="1" applyProtection="1">
      <alignment horizontal="center" vertical="center"/>
      <protection locked="0"/>
    </xf>
    <xf numFmtId="197" fontId="9" fillId="34" borderId="0" xfId="46" applyFont="1" applyFill="1" applyBorder="1" applyAlignment="1" applyProtection="1">
      <alignment horizontal="center" vertical="center"/>
      <protection locked="0"/>
    </xf>
    <xf numFmtId="2" fontId="9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2" fontId="0" fillId="34" borderId="0" xfId="0" applyNumberFormat="1" applyFont="1" applyFill="1" applyBorder="1" applyAlignment="1" applyProtection="1">
      <alignment/>
      <protection locked="0"/>
    </xf>
    <xf numFmtId="2" fontId="0" fillId="34" borderId="0" xfId="0" applyNumberFormat="1" applyFont="1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6" fillId="34" borderId="0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 horizontal="center"/>
      <protection/>
    </xf>
    <xf numFmtId="2" fontId="18" fillId="34" borderId="0" xfId="0" applyNumberFormat="1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0" fillId="34" borderId="3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4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/>
    </xf>
    <xf numFmtId="218" fontId="0" fillId="34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right"/>
    </xf>
    <xf numFmtId="17" fontId="0" fillId="34" borderId="0" xfId="0" applyNumberFormat="1" applyFont="1" applyFill="1" applyBorder="1" applyAlignment="1">
      <alignment horizontal="left"/>
    </xf>
    <xf numFmtId="0" fontId="36" fillId="34" borderId="0" xfId="0" applyFont="1" applyFill="1" applyBorder="1" applyAlignment="1">
      <alignment horizontal="right"/>
    </xf>
    <xf numFmtId="0" fontId="36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20" fillId="34" borderId="19" xfId="0" applyFont="1" applyFill="1" applyBorder="1" applyAlignment="1">
      <alignment horizontal="left" vertical="top"/>
    </xf>
    <xf numFmtId="0" fontId="20" fillId="34" borderId="19" xfId="0" applyFont="1" applyFill="1" applyBorder="1" applyAlignment="1">
      <alignment horizontal="right" vertical="top"/>
    </xf>
    <xf numFmtId="17" fontId="0" fillId="34" borderId="19" xfId="0" applyNumberFormat="1" applyFont="1" applyFill="1" applyBorder="1" applyAlignment="1">
      <alignment horizontal="left" vertical="top"/>
    </xf>
    <xf numFmtId="0" fontId="1" fillId="34" borderId="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top" wrapText="1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12" fillId="34" borderId="30" xfId="0" applyFont="1" applyFill="1" applyBorder="1" applyAlignment="1">
      <alignment horizontal="right"/>
    </xf>
    <xf numFmtId="219" fontId="14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justify" vertical="center"/>
    </xf>
    <xf numFmtId="4" fontId="1" fillId="34" borderId="0" xfId="0" applyNumberFormat="1" applyFont="1" applyFill="1" applyBorder="1" applyAlignment="1">
      <alignment horizontal="right" vertical="center"/>
    </xf>
    <xf numFmtId="0" fontId="14" fillId="34" borderId="0" xfId="0" applyFont="1" applyFill="1" applyAlignment="1">
      <alignment horizontal="right"/>
    </xf>
    <xf numFmtId="0" fontId="1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17" fontId="0" fillId="34" borderId="0" xfId="0" applyNumberFormat="1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horizontal="center" vertical="center"/>
    </xf>
    <xf numFmtId="4" fontId="0" fillId="34" borderId="0" xfId="0" applyNumberFormat="1" applyFont="1" applyFill="1" applyBorder="1" applyAlignment="1">
      <alignment vertical="center"/>
    </xf>
    <xf numFmtId="4" fontId="0" fillId="34" borderId="0" xfId="0" applyNumberFormat="1" applyFont="1" applyFill="1" applyBorder="1" applyAlignment="1">
      <alignment horizontal="right"/>
    </xf>
    <xf numFmtId="4" fontId="0" fillId="34" borderId="0" xfId="0" applyNumberFormat="1" applyFont="1" applyFill="1" applyBorder="1" applyAlignment="1">
      <alignment/>
    </xf>
    <xf numFmtId="190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4" fontId="7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center"/>
    </xf>
    <xf numFmtId="0" fontId="14" fillId="34" borderId="0" xfId="0" applyFont="1" applyFill="1" applyAlignment="1">
      <alignment horizontal="right" vertical="center"/>
    </xf>
    <xf numFmtId="0" fontId="9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4" fontId="39" fillId="34" borderId="12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right" vertical="center"/>
    </xf>
    <xf numFmtId="14" fontId="14" fillId="34" borderId="0" xfId="0" applyNumberFormat="1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left"/>
    </xf>
    <xf numFmtId="14" fontId="14" fillId="34" borderId="19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vertical="center"/>
    </xf>
    <xf numFmtId="199" fontId="12" fillId="34" borderId="0" xfId="0" applyNumberFormat="1" applyFont="1" applyFill="1" applyBorder="1" applyAlignment="1">
      <alignment horizontal="center"/>
    </xf>
    <xf numFmtId="199" fontId="18" fillId="34" borderId="0" xfId="0" applyNumberFormat="1" applyFont="1" applyFill="1" applyBorder="1" applyAlignment="1">
      <alignment horizontal="right"/>
    </xf>
    <xf numFmtId="0" fontId="18" fillId="34" borderId="0" xfId="0" applyFont="1" applyFill="1" applyBorder="1" applyAlignment="1">
      <alignment horizontal="right"/>
    </xf>
    <xf numFmtId="0" fontId="62" fillId="41" borderId="0" xfId="47" applyFont="1" applyFill="1" applyAlignment="1" applyProtection="1">
      <alignment/>
      <protection/>
    </xf>
    <xf numFmtId="0" fontId="62" fillId="41" borderId="0" xfId="47" applyFont="1" applyFill="1" applyAlignment="1" applyProtection="1">
      <alignment horizontal="right"/>
      <protection/>
    </xf>
    <xf numFmtId="0" fontId="76" fillId="41" borderId="0" xfId="47" applyFont="1" applyFill="1" applyAlignment="1" applyProtection="1">
      <alignment/>
      <protection/>
    </xf>
    <xf numFmtId="0" fontId="70" fillId="41" borderId="0" xfId="47" applyFont="1" applyFill="1" applyAlignment="1" applyProtection="1">
      <alignment horizontal="right"/>
      <protection/>
    </xf>
    <xf numFmtId="0" fontId="62" fillId="41" borderId="0" xfId="0" applyFont="1" applyFill="1" applyBorder="1" applyAlignment="1">
      <alignment/>
    </xf>
    <xf numFmtId="0" fontId="72" fillId="41" borderId="0" xfId="47" applyFont="1" applyFill="1" applyAlignment="1" applyProtection="1">
      <alignment horizontal="right"/>
      <protection/>
    </xf>
    <xf numFmtId="0" fontId="61" fillId="41" borderId="0" xfId="47" applyFont="1" applyFill="1" applyAlignment="1" applyProtection="1">
      <alignment horizontal="right"/>
      <protection/>
    </xf>
    <xf numFmtId="0" fontId="61" fillId="40" borderId="0" xfId="0" applyFont="1" applyFill="1" applyBorder="1" applyAlignment="1">
      <alignment/>
    </xf>
    <xf numFmtId="0" fontId="61" fillId="40" borderId="0" xfId="0" applyFont="1" applyFill="1" applyBorder="1" applyAlignment="1">
      <alignment/>
    </xf>
    <xf numFmtId="0" fontId="62" fillId="40" borderId="0" xfId="0" applyFont="1" applyFill="1" applyBorder="1" applyAlignment="1">
      <alignment horizontal="right"/>
    </xf>
    <xf numFmtId="0" fontId="61" fillId="40" borderId="0" xfId="0" applyFont="1" applyFill="1" applyAlignment="1">
      <alignment/>
    </xf>
    <xf numFmtId="0" fontId="77" fillId="40" borderId="0" xfId="0" applyFont="1" applyFill="1" applyBorder="1" applyAlignment="1">
      <alignment horizontal="center"/>
    </xf>
    <xf numFmtId="4" fontId="78" fillId="40" borderId="0" xfId="0" applyNumberFormat="1" applyFont="1" applyFill="1" applyBorder="1" applyAlignment="1">
      <alignment vertical="center" wrapText="1"/>
    </xf>
    <xf numFmtId="0" fontId="79" fillId="34" borderId="0" xfId="0" applyFont="1" applyFill="1" applyAlignment="1" applyProtection="1">
      <alignment/>
      <protection locked="0"/>
    </xf>
    <xf numFmtId="0" fontId="31" fillId="34" borderId="0" xfId="0" applyFont="1" applyFill="1" applyAlignment="1">
      <alignment horizontal="right" textRotation="180" wrapText="1"/>
    </xf>
    <xf numFmtId="1" fontId="0" fillId="34" borderId="10" xfId="0" applyNumberFormat="1" applyFont="1" applyFill="1" applyBorder="1" applyAlignment="1">
      <alignment/>
    </xf>
    <xf numFmtId="0" fontId="80" fillId="41" borderId="0" xfId="47" applyFont="1" applyFill="1" applyAlignment="1" applyProtection="1">
      <alignment/>
      <protection/>
    </xf>
    <xf numFmtId="0" fontId="81" fillId="41" borderId="0" xfId="47" applyFont="1" applyFill="1" applyAlignment="1" applyProtection="1">
      <alignment horizontal="left"/>
      <protection/>
    </xf>
    <xf numFmtId="199" fontId="1" fillId="34" borderId="19" xfId="0" applyNumberFormat="1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 wrapText="1"/>
    </xf>
    <xf numFmtId="199" fontId="6" fillId="34" borderId="19" xfId="0" applyNumberFormat="1" applyFont="1" applyFill="1" applyBorder="1" applyAlignment="1">
      <alignment horizontal="right"/>
    </xf>
    <xf numFmtId="4" fontId="34" fillId="34" borderId="14" xfId="0" applyNumberFormat="1" applyFont="1" applyFill="1" applyBorder="1" applyAlignment="1">
      <alignment horizontal="right" wrapText="1"/>
    </xf>
    <xf numFmtId="4" fontId="7" fillId="34" borderId="15" xfId="0" applyNumberFormat="1" applyFont="1" applyFill="1" applyBorder="1" applyAlignment="1">
      <alignment horizontal="right"/>
    </xf>
    <xf numFmtId="4" fontId="34" fillId="34" borderId="17" xfId="0" applyNumberFormat="1" applyFont="1" applyFill="1" applyBorder="1" applyAlignment="1">
      <alignment horizontal="right" vertical="center" wrapText="1"/>
    </xf>
    <xf numFmtId="4" fontId="7" fillId="34" borderId="18" xfId="0" applyNumberFormat="1" applyFont="1" applyFill="1" applyBorder="1" applyAlignment="1">
      <alignment horizontal="right" vertical="center"/>
    </xf>
    <xf numFmtId="4" fontId="34" fillId="34" borderId="24" xfId="47" applyNumberFormat="1" applyFont="1" applyFill="1" applyBorder="1" applyAlignment="1" applyProtection="1">
      <alignment horizontal="right" vertical="top" wrapText="1" shrinkToFit="1"/>
      <protection/>
    </xf>
    <xf numFmtId="4" fontId="7" fillId="34" borderId="45" xfId="47" applyNumberFormat="1" applyFont="1" applyFill="1" applyBorder="1" applyAlignment="1" applyProtection="1">
      <alignment horizontal="right" vertical="top"/>
      <protection/>
    </xf>
    <xf numFmtId="4" fontId="1" fillId="34" borderId="12" xfId="0" applyNumberFormat="1" applyFont="1" applyFill="1" applyBorder="1" applyAlignment="1" applyProtection="1">
      <alignment horizontal="right" vertical="center" wrapText="1"/>
      <protection/>
    </xf>
    <xf numFmtId="4" fontId="1" fillId="34" borderId="15" xfId="0" applyNumberFormat="1" applyFont="1" applyFill="1" applyBorder="1" applyAlignment="1" applyProtection="1">
      <alignment horizontal="right" vertical="center" wrapText="1"/>
      <protection/>
    </xf>
    <xf numFmtId="4" fontId="1" fillId="34" borderId="19" xfId="0" applyNumberFormat="1" applyFont="1" applyFill="1" applyBorder="1" applyAlignment="1" applyProtection="1">
      <alignment horizontal="right" vertical="top" wrapText="1"/>
      <protection/>
    </xf>
    <xf numFmtId="4" fontId="1" fillId="34" borderId="45" xfId="0" applyNumberFormat="1" applyFont="1" applyFill="1" applyBorder="1" applyAlignment="1" applyProtection="1">
      <alignment horizontal="right" vertical="top" wrapText="1"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82" fillId="34" borderId="0" xfId="0" applyFont="1" applyFill="1" applyBorder="1" applyAlignment="1">
      <alignment/>
    </xf>
    <xf numFmtId="0" fontId="83" fillId="34" borderId="0" xfId="0" applyFont="1" applyFill="1" applyAlignment="1">
      <alignment/>
    </xf>
    <xf numFmtId="0" fontId="38" fillId="34" borderId="0" xfId="0" applyFont="1" applyFill="1" applyBorder="1" applyAlignment="1">
      <alignment wrapText="1"/>
    </xf>
    <xf numFmtId="2" fontId="84" fillId="34" borderId="0" xfId="0" applyNumberFormat="1" applyFont="1" applyFill="1" applyAlignment="1">
      <alignment wrapText="1"/>
    </xf>
    <xf numFmtId="0" fontId="1" fillId="34" borderId="19" xfId="0" applyFont="1" applyFill="1" applyBorder="1" applyAlignment="1">
      <alignment horizontal="left"/>
    </xf>
    <xf numFmtId="0" fontId="8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47" applyFont="1" applyFill="1" applyBorder="1" applyAlignment="1" applyProtection="1">
      <alignment horizontal="center"/>
      <protection/>
    </xf>
    <xf numFmtId="0" fontId="0" fillId="34" borderId="0" xfId="47" applyFont="1" applyFill="1" applyBorder="1" applyAlignment="1" applyProtection="1">
      <alignment/>
      <protection/>
    </xf>
    <xf numFmtId="0" fontId="0" fillId="34" borderId="0" xfId="0" applyFont="1" applyFill="1" applyAlignment="1">
      <alignment horizontal="center" vertical="center"/>
    </xf>
    <xf numFmtId="0" fontId="0" fillId="34" borderId="0" xfId="47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4" fillId="34" borderId="10" xfId="47" applyFill="1" applyBorder="1" applyAlignment="1" applyProtection="1">
      <alignment shrinkToFit="1"/>
      <protection/>
    </xf>
    <xf numFmtId="0" fontId="1" fillId="34" borderId="0" xfId="47" applyFont="1" applyFill="1" applyBorder="1" applyAlignment="1" applyProtection="1">
      <alignment horizontal="right"/>
      <protection/>
    </xf>
    <xf numFmtId="0" fontId="20" fillId="34" borderId="0" xfId="47" applyFont="1" applyFill="1" applyBorder="1" applyAlignment="1" applyProtection="1">
      <alignment horizontal="center"/>
      <protection/>
    </xf>
    <xf numFmtId="0" fontId="20" fillId="34" borderId="0" xfId="0" applyFont="1" applyFill="1" applyBorder="1" applyAlignment="1">
      <alignment/>
    </xf>
    <xf numFmtId="0" fontId="72" fillId="34" borderId="1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47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center"/>
    </xf>
    <xf numFmtId="4" fontId="18" fillId="34" borderId="0" xfId="0" applyNumberFormat="1" applyFont="1" applyFill="1" applyBorder="1" applyAlignment="1" applyProtection="1">
      <alignment horizontal="center"/>
      <protection locked="0"/>
    </xf>
    <xf numFmtId="0" fontId="84" fillId="34" borderId="0" xfId="0" applyFont="1" applyFill="1" applyBorder="1" applyAlignment="1">
      <alignment/>
    </xf>
    <xf numFmtId="0" fontId="30" fillId="34" borderId="0" xfId="0" applyFont="1" applyFill="1" applyBorder="1" applyAlignment="1">
      <alignment/>
    </xf>
    <xf numFmtId="0" fontId="7" fillId="34" borderId="46" xfId="0" applyFont="1" applyFill="1" applyBorder="1" applyAlignment="1">
      <alignment/>
    </xf>
    <xf numFmtId="0" fontId="86" fillId="34" borderId="11" xfId="0" applyFont="1" applyFill="1" applyBorder="1" applyAlignment="1">
      <alignment horizontal="right"/>
    </xf>
    <xf numFmtId="0" fontId="1" fillId="34" borderId="27" xfId="0" applyFont="1" applyFill="1" applyBorder="1" applyAlignment="1">
      <alignment/>
    </xf>
    <xf numFmtId="0" fontId="87" fillId="34" borderId="0" xfId="0" applyFont="1" applyFill="1" applyBorder="1" applyAlignment="1" applyProtection="1">
      <alignment/>
      <protection/>
    </xf>
    <xf numFmtId="224" fontId="0" fillId="36" borderId="47" xfId="58" applyNumberFormat="1" applyFont="1" applyFill="1" applyBorder="1" applyAlignment="1" applyProtection="1">
      <alignment/>
      <protection locked="0"/>
    </xf>
    <xf numFmtId="191" fontId="0" fillId="34" borderId="0" xfId="0" applyNumberFormat="1" applyFont="1" applyFill="1" applyAlignment="1" applyProtection="1">
      <alignment/>
      <protection locked="0"/>
    </xf>
    <xf numFmtId="214" fontId="0" fillId="34" borderId="0" xfId="0" applyNumberFormat="1" applyFont="1" applyFill="1" applyBorder="1" applyAlignment="1" applyProtection="1">
      <alignment/>
      <protection locked="0"/>
    </xf>
    <xf numFmtId="0" fontId="73" fillId="40" borderId="0" xfId="0" applyFont="1" applyFill="1" applyBorder="1" applyAlignment="1">
      <alignment/>
    </xf>
    <xf numFmtId="49" fontId="67" fillId="40" borderId="0" xfId="0" applyNumberFormat="1" applyFont="1" applyFill="1" applyBorder="1" applyAlignment="1">
      <alignment wrapText="1"/>
    </xf>
    <xf numFmtId="0" fontId="57" fillId="34" borderId="0" xfId="0" applyFont="1" applyFill="1" applyBorder="1" applyAlignment="1" applyProtection="1">
      <alignment horizontal="right"/>
      <protection/>
    </xf>
    <xf numFmtId="0" fontId="153" fillId="34" borderId="0" xfId="0" applyFont="1" applyFill="1" applyBorder="1" applyAlignment="1">
      <alignment horizontal="right" vertical="top"/>
    </xf>
    <xf numFmtId="0" fontId="154" fillId="34" borderId="30" xfId="0" applyFont="1" applyFill="1" applyBorder="1" applyAlignment="1">
      <alignment/>
    </xf>
    <xf numFmtId="0" fontId="155" fillId="34" borderId="0" xfId="0" applyFont="1" applyFill="1" applyBorder="1" applyAlignment="1">
      <alignment/>
    </xf>
    <xf numFmtId="0" fontId="156" fillId="34" borderId="0" xfId="0" applyFont="1" applyFill="1" applyBorder="1" applyAlignment="1">
      <alignment/>
    </xf>
    <xf numFmtId="0" fontId="155" fillId="34" borderId="0" xfId="0" applyFont="1" applyFill="1" applyBorder="1" applyAlignment="1">
      <alignment horizontal="left"/>
    </xf>
    <xf numFmtId="0" fontId="157" fillId="34" borderId="0" xfId="0" applyFont="1" applyFill="1" applyBorder="1" applyAlignment="1">
      <alignment/>
    </xf>
    <xf numFmtId="4" fontId="18" fillId="8" borderId="0" xfId="0" applyNumberFormat="1" applyFont="1" applyFill="1" applyBorder="1" applyAlignment="1">
      <alignment horizontal="center"/>
    </xf>
    <xf numFmtId="2" fontId="18" fillId="8" borderId="0" xfId="0" applyNumberFormat="1" applyFont="1" applyFill="1" applyBorder="1" applyAlignment="1">
      <alignment horizontal="center"/>
    </xf>
    <xf numFmtId="4" fontId="20" fillId="8" borderId="44" xfId="0" applyNumberFormat="1" applyFont="1" applyFill="1" applyBorder="1" applyAlignment="1">
      <alignment horizontal="center"/>
    </xf>
    <xf numFmtId="17" fontId="18" fillId="14" borderId="0" xfId="0" applyNumberFormat="1" applyFont="1" applyFill="1" applyBorder="1" applyAlignment="1">
      <alignment horizontal="center"/>
    </xf>
    <xf numFmtId="14" fontId="18" fillId="14" borderId="0" xfId="0" applyNumberFormat="1" applyFont="1" applyFill="1" applyBorder="1" applyAlignment="1">
      <alignment horizontal="center"/>
    </xf>
    <xf numFmtId="17" fontId="20" fillId="14" borderId="44" xfId="0" applyNumberFormat="1" applyFont="1" applyFill="1" applyBorder="1" applyAlignment="1">
      <alignment horizontal="center"/>
    </xf>
    <xf numFmtId="14" fontId="20" fillId="14" borderId="44" xfId="0" applyNumberFormat="1" applyFont="1" applyFill="1" applyBorder="1" applyAlignment="1">
      <alignment horizontal="center"/>
    </xf>
    <xf numFmtId="0" fontId="18" fillId="14" borderId="0" xfId="0" applyFont="1" applyFill="1" applyAlignment="1">
      <alignment/>
    </xf>
    <xf numFmtId="4" fontId="20" fillId="8" borderId="0" xfId="0" applyNumberFormat="1" applyFont="1" applyFill="1" applyBorder="1" applyAlignment="1">
      <alignment horizontal="center"/>
    </xf>
    <xf numFmtId="17" fontId="20" fillId="14" borderId="0" xfId="0" applyNumberFormat="1" applyFont="1" applyFill="1" applyBorder="1" applyAlignment="1">
      <alignment horizontal="center"/>
    </xf>
    <xf numFmtId="14" fontId="158" fillId="14" borderId="0" xfId="0" applyNumberFormat="1" applyFont="1" applyFill="1" applyBorder="1" applyAlignment="1">
      <alignment horizontal="center"/>
    </xf>
    <xf numFmtId="4" fontId="158" fillId="8" borderId="0" xfId="0" applyNumberFormat="1" applyFont="1" applyFill="1" applyBorder="1" applyAlignment="1">
      <alignment horizontal="center"/>
    </xf>
    <xf numFmtId="0" fontId="20" fillId="14" borderId="0" xfId="0" applyFont="1" applyFill="1" applyAlignment="1">
      <alignment/>
    </xf>
    <xf numFmtId="17" fontId="158" fillId="14" borderId="0" xfId="0" applyNumberFormat="1" applyFont="1" applyFill="1" applyBorder="1" applyAlignment="1">
      <alignment horizontal="center"/>
    </xf>
    <xf numFmtId="2" fontId="158" fillId="8" borderId="0" xfId="0" applyNumberFormat="1" applyFont="1" applyFill="1" applyBorder="1" applyAlignment="1">
      <alignment horizontal="center"/>
    </xf>
    <xf numFmtId="17" fontId="159" fillId="14" borderId="0" xfId="0" applyNumberFormat="1" applyFont="1" applyFill="1" applyBorder="1" applyAlignment="1">
      <alignment horizontal="center"/>
    </xf>
    <xf numFmtId="14" fontId="159" fillId="14" borderId="0" xfId="0" applyNumberFormat="1" applyFont="1" applyFill="1" applyBorder="1" applyAlignment="1">
      <alignment horizontal="center"/>
    </xf>
    <xf numFmtId="4" fontId="159" fillId="8" borderId="0" xfId="0" applyNumberFormat="1" applyFont="1" applyFill="1" applyBorder="1" applyAlignment="1">
      <alignment horizontal="center"/>
    </xf>
    <xf numFmtId="0" fontId="159" fillId="14" borderId="0" xfId="0" applyFont="1" applyFill="1" applyAlignment="1">
      <alignment/>
    </xf>
    <xf numFmtId="2" fontId="159" fillId="8" borderId="0" xfId="0" applyNumberFormat="1" applyFont="1" applyFill="1" applyBorder="1" applyAlignment="1">
      <alignment horizontal="center"/>
    </xf>
    <xf numFmtId="14" fontId="158" fillId="14" borderId="44" xfId="0" applyNumberFormat="1" applyFont="1" applyFill="1" applyBorder="1" applyAlignment="1">
      <alignment horizontal="center"/>
    </xf>
    <xf numFmtId="4" fontId="158" fillId="8" borderId="44" xfId="0" applyNumberFormat="1" applyFont="1" applyFill="1" applyBorder="1" applyAlignment="1">
      <alignment horizontal="center"/>
    </xf>
    <xf numFmtId="17" fontId="158" fillId="14" borderId="44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154" fillId="34" borderId="30" xfId="0" applyFont="1" applyFill="1" applyBorder="1" applyAlignment="1">
      <alignment horizontal="right"/>
    </xf>
    <xf numFmtId="0" fontId="155" fillId="34" borderId="0" xfId="0" applyFont="1" applyFill="1" applyBorder="1" applyAlignment="1">
      <alignment horizontal="center"/>
    </xf>
    <xf numFmtId="0" fontId="153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197" fontId="0" fillId="34" borderId="0" xfId="0" applyNumberFormat="1" applyFont="1" applyFill="1" applyBorder="1" applyAlignment="1" applyProtection="1">
      <alignment horizontal="center"/>
      <protection/>
    </xf>
    <xf numFmtId="0" fontId="154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197" fontId="24" fillId="34" borderId="46" xfId="0" applyNumberFormat="1" applyFont="1" applyFill="1" applyBorder="1" applyAlignment="1" applyProtection="1">
      <alignment horizontal="center" vertical="center"/>
      <protection locked="0"/>
    </xf>
    <xf numFmtId="197" fontId="24" fillId="34" borderId="11" xfId="0" applyNumberFormat="1" applyFont="1" applyFill="1" applyBorder="1" applyAlignment="1" applyProtection="1">
      <alignment horizontal="center" vertical="center"/>
      <protection locked="0"/>
    </xf>
    <xf numFmtId="197" fontId="24" fillId="34" borderId="27" xfId="0" applyNumberFormat="1" applyFont="1" applyFill="1" applyBorder="1" applyAlignment="1" applyProtection="1">
      <alignment horizontal="center" vertical="center"/>
      <protection locked="0"/>
    </xf>
    <xf numFmtId="0" fontId="109" fillId="40" borderId="48" xfId="47" applyFont="1" applyFill="1" applyBorder="1" applyAlignment="1" applyProtection="1">
      <alignment horizontal="center"/>
      <protection locked="0"/>
    </xf>
    <xf numFmtId="0" fontId="109" fillId="40" borderId="49" xfId="47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160" fillId="34" borderId="0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 vertical="top"/>
    </xf>
    <xf numFmtId="0" fontId="87" fillId="34" borderId="19" xfId="0" applyFont="1" applyFill="1" applyBorder="1" applyAlignment="1">
      <alignment horizontal="center"/>
    </xf>
    <xf numFmtId="0" fontId="95" fillId="40" borderId="50" xfId="47" applyFont="1" applyFill="1" applyBorder="1" applyAlignment="1" applyProtection="1">
      <alignment horizontal="center"/>
      <protection locked="0"/>
    </xf>
    <xf numFmtId="0" fontId="95" fillId="40" borderId="51" xfId="47" applyFont="1" applyFill="1" applyBorder="1" applyAlignment="1" applyProtection="1">
      <alignment horizontal="center"/>
      <protection locked="0"/>
    </xf>
    <xf numFmtId="0" fontId="95" fillId="40" borderId="52" xfId="47" applyFont="1" applyFill="1" applyBorder="1" applyAlignment="1" applyProtection="1">
      <alignment horizontal="center"/>
      <protection locked="0"/>
    </xf>
    <xf numFmtId="0" fontId="0" fillId="40" borderId="0" xfId="0" applyFont="1" applyFill="1" applyBorder="1" applyAlignment="1">
      <alignment horizontal="center"/>
    </xf>
    <xf numFmtId="0" fontId="154" fillId="34" borderId="30" xfId="0" applyFont="1" applyFill="1" applyBorder="1" applyAlignment="1">
      <alignment horizontal="center"/>
    </xf>
    <xf numFmtId="0" fontId="94" fillId="34" borderId="0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left"/>
      <protection/>
    </xf>
    <xf numFmtId="0" fontId="87" fillId="40" borderId="0" xfId="0" applyFont="1" applyFill="1" applyBorder="1" applyAlignment="1">
      <alignment horizontal="center"/>
    </xf>
    <xf numFmtId="0" fontId="89" fillId="34" borderId="0" xfId="0" applyFont="1" applyFill="1" applyBorder="1" applyAlignment="1">
      <alignment horizontal="center"/>
    </xf>
    <xf numFmtId="0" fontId="154" fillId="34" borderId="0" xfId="0" applyFont="1" applyFill="1" applyBorder="1" applyAlignment="1">
      <alignment horizontal="center" wrapText="1"/>
    </xf>
    <xf numFmtId="0" fontId="31" fillId="40" borderId="0" xfId="0" applyFont="1" applyFill="1" applyBorder="1" applyAlignment="1">
      <alignment horizontal="left" wrapText="1"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92" fillId="34" borderId="0" xfId="0" applyFont="1" applyFill="1" applyBorder="1" applyAlignment="1" applyProtection="1">
      <alignment horizontal="center" vertical="center" wrapText="1"/>
      <protection/>
    </xf>
    <xf numFmtId="0" fontId="93" fillId="34" borderId="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left" vertical="top" wrapText="1"/>
      <protection/>
    </xf>
    <xf numFmtId="0" fontId="9" fillId="34" borderId="53" xfId="0" applyFont="1" applyFill="1" applyBorder="1" applyAlignment="1" applyProtection="1">
      <alignment horizontal="center" vertical="center" wrapText="1" shrinkToFit="1"/>
      <protection locked="0"/>
    </xf>
    <xf numFmtId="0" fontId="9" fillId="34" borderId="54" xfId="0" applyFont="1" applyFill="1" applyBorder="1" applyAlignment="1" applyProtection="1">
      <alignment horizontal="center" vertical="center" wrapText="1" shrinkToFit="1"/>
      <protection locked="0"/>
    </xf>
    <xf numFmtId="0" fontId="9" fillId="34" borderId="55" xfId="0" applyFont="1" applyFill="1" applyBorder="1" applyAlignment="1" applyProtection="1">
      <alignment horizontal="center" vertical="center" wrapText="1" shrinkToFit="1"/>
      <protection locked="0"/>
    </xf>
    <xf numFmtId="0" fontId="9" fillId="34" borderId="56" xfId="0" applyFont="1" applyFill="1" applyBorder="1" applyAlignment="1" applyProtection="1">
      <alignment horizontal="center" vertical="center" wrapText="1" shrinkToFit="1"/>
      <protection locked="0"/>
    </xf>
    <xf numFmtId="0" fontId="9" fillId="34" borderId="0" xfId="0" applyFont="1" applyFill="1" applyBorder="1" applyAlignment="1" applyProtection="1">
      <alignment horizontal="center" vertical="center" wrapText="1" shrinkToFit="1"/>
      <protection locked="0"/>
    </xf>
    <xf numFmtId="0" fontId="9" fillId="34" borderId="57" xfId="0" applyFont="1" applyFill="1" applyBorder="1" applyAlignment="1" applyProtection="1">
      <alignment horizontal="center" vertical="center" wrapText="1" shrinkToFit="1"/>
      <protection locked="0"/>
    </xf>
    <xf numFmtId="0" fontId="9" fillId="34" borderId="58" xfId="0" applyFont="1" applyFill="1" applyBorder="1" applyAlignment="1" applyProtection="1">
      <alignment horizontal="center" vertical="center" wrapText="1" shrinkToFit="1"/>
      <protection locked="0"/>
    </xf>
    <xf numFmtId="0" fontId="9" fillId="34" borderId="59" xfId="0" applyFont="1" applyFill="1" applyBorder="1" applyAlignment="1" applyProtection="1">
      <alignment horizontal="center" vertical="center" wrapText="1" shrinkToFit="1"/>
      <protection locked="0"/>
    </xf>
    <xf numFmtId="0" fontId="9" fillId="34" borderId="60" xfId="0" applyFont="1" applyFill="1" applyBorder="1" applyAlignment="1" applyProtection="1">
      <alignment horizontal="center" vertical="center" wrapText="1" shrinkToFit="1"/>
      <protection locked="0"/>
    </xf>
    <xf numFmtId="0" fontId="12" fillId="34" borderId="0" xfId="0" applyFont="1" applyFill="1" applyAlignment="1" applyProtection="1">
      <alignment horizontal="left" wrapText="1"/>
      <protection/>
    </xf>
    <xf numFmtId="0" fontId="31" fillId="34" borderId="0" xfId="0" applyFont="1" applyFill="1" applyAlignment="1" applyProtection="1">
      <alignment horizontal="left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48" fillId="34" borderId="57" xfId="0" applyFont="1" applyFill="1" applyBorder="1" applyAlignment="1">
      <alignment horizontal="right" vertical="center" textRotation="90"/>
    </xf>
    <xf numFmtId="0" fontId="60" fillId="34" borderId="10" xfId="47" applyFont="1" applyFill="1" applyBorder="1" applyAlignment="1" applyProtection="1">
      <alignment horizontal="center"/>
      <protection locked="0"/>
    </xf>
    <xf numFmtId="197" fontId="0" fillId="34" borderId="46" xfId="0" applyNumberFormat="1" applyFont="1" applyFill="1" applyBorder="1" applyAlignment="1" applyProtection="1">
      <alignment horizontal="center"/>
      <protection locked="0"/>
    </xf>
    <xf numFmtId="197" fontId="0" fillId="34" borderId="11" xfId="0" applyNumberFormat="1" applyFont="1" applyFill="1" applyBorder="1" applyAlignment="1" applyProtection="1">
      <alignment horizontal="center"/>
      <protection locked="0"/>
    </xf>
    <xf numFmtId="197" fontId="0" fillId="34" borderId="27" xfId="0" applyNumberFormat="1" applyFont="1" applyFill="1" applyBorder="1" applyAlignment="1" applyProtection="1">
      <alignment horizontal="center"/>
      <protection locked="0"/>
    </xf>
    <xf numFmtId="0" fontId="60" fillId="34" borderId="10" xfId="0" applyFont="1" applyFill="1" applyBorder="1" applyAlignment="1">
      <alignment horizontal="center"/>
    </xf>
    <xf numFmtId="209" fontId="45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209" fontId="7" fillId="34" borderId="0" xfId="0" applyNumberFormat="1" applyFont="1" applyFill="1" applyBorder="1" applyAlignment="1">
      <alignment horizontal="right" vertical="center" wrapText="1"/>
    </xf>
    <xf numFmtId="0" fontId="91" fillId="34" borderId="10" xfId="0" applyFont="1" applyFill="1" applyBorder="1" applyAlignment="1">
      <alignment horizontal="right" vertical="center"/>
    </xf>
    <xf numFmtId="0" fontId="91" fillId="34" borderId="61" xfId="0" applyFont="1" applyFill="1" applyBorder="1" applyAlignment="1">
      <alignment horizontal="right" vertical="center"/>
    </xf>
    <xf numFmtId="0" fontId="96" fillId="40" borderId="50" xfId="47" applyFont="1" applyFill="1" applyBorder="1" applyAlignment="1" applyProtection="1">
      <alignment horizontal="center"/>
      <protection locked="0"/>
    </xf>
    <xf numFmtId="0" fontId="96" fillId="40" borderId="51" xfId="47" applyFont="1" applyFill="1" applyBorder="1" applyAlignment="1" applyProtection="1">
      <alignment horizontal="center"/>
      <protection locked="0"/>
    </xf>
    <xf numFmtId="0" fontId="96" fillId="40" borderId="52" xfId="47" applyFont="1" applyFill="1" applyBorder="1" applyAlignment="1" applyProtection="1">
      <alignment horizontal="center"/>
      <protection locked="0"/>
    </xf>
    <xf numFmtId="0" fontId="88" fillId="43" borderId="0" xfId="47" applyFont="1" applyFill="1" applyBorder="1" applyAlignment="1" applyProtection="1">
      <alignment horizontal="center" shrinkToFit="1"/>
      <protection/>
    </xf>
    <xf numFmtId="0" fontId="6" fillId="34" borderId="0" xfId="0" applyFont="1" applyFill="1" applyBorder="1" applyAlignment="1">
      <alignment horizontal="center" vertical="center"/>
    </xf>
    <xf numFmtId="0" fontId="21" fillId="34" borderId="0" xfId="47" applyFont="1" applyFill="1" applyBorder="1" applyAlignment="1" applyProtection="1">
      <alignment horizontal="center" vertical="center"/>
      <protection/>
    </xf>
    <xf numFmtId="0" fontId="161" fillId="34" borderId="0" xfId="0" applyFont="1" applyFill="1" applyBorder="1" applyAlignment="1">
      <alignment horizontal="right"/>
    </xf>
    <xf numFmtId="0" fontId="14" fillId="34" borderId="62" xfId="0" applyFont="1" applyFill="1" applyBorder="1" applyAlignment="1" applyProtection="1">
      <alignment horizontal="left" vertical="center"/>
      <protection locked="0"/>
    </xf>
    <xf numFmtId="0" fontId="14" fillId="34" borderId="63" xfId="0" applyFont="1" applyFill="1" applyBorder="1" applyAlignment="1" applyProtection="1">
      <alignment horizontal="left" vertical="center"/>
      <protection locked="0"/>
    </xf>
    <xf numFmtId="0" fontId="14" fillId="34" borderId="64" xfId="0" applyFont="1" applyFill="1" applyBorder="1" applyAlignment="1" applyProtection="1">
      <alignment horizontal="left" vertical="center"/>
      <protection locked="0"/>
    </xf>
    <xf numFmtId="4" fontId="72" fillId="34" borderId="19" xfId="0" applyNumberFormat="1" applyFont="1" applyFill="1" applyBorder="1" applyAlignment="1">
      <alignment horizontal="center"/>
    </xf>
    <xf numFmtId="209" fontId="72" fillId="34" borderId="19" xfId="0" applyNumberFormat="1" applyFont="1" applyFill="1" applyBorder="1" applyAlignment="1">
      <alignment horizontal="center"/>
    </xf>
    <xf numFmtId="0" fontId="61" fillId="40" borderId="0" xfId="0" applyFont="1" applyFill="1" applyBorder="1" applyAlignment="1">
      <alignment horizontal="center" vertical="center" wrapText="1"/>
    </xf>
    <xf numFmtId="199" fontId="38" fillId="40" borderId="0" xfId="0" applyNumberFormat="1" applyFont="1" applyFill="1" applyBorder="1" applyAlignment="1">
      <alignment horizontal="center" vertical="center" wrapText="1"/>
    </xf>
    <xf numFmtId="199" fontId="13" fillId="40" borderId="0" xfId="0" applyNumberFormat="1" applyFont="1" applyFill="1" applyBorder="1" applyAlignment="1">
      <alignment horizontal="center" vertical="center" wrapText="1"/>
    </xf>
    <xf numFmtId="199" fontId="13" fillId="34" borderId="0" xfId="0" applyNumberFormat="1" applyFont="1" applyFill="1" applyBorder="1" applyAlignment="1">
      <alignment horizontal="right" wrapText="1"/>
    </xf>
    <xf numFmtId="4" fontId="84" fillId="33" borderId="65" xfId="47" applyNumberFormat="1" applyFont="1" applyFill="1" applyBorder="1" applyAlignment="1" applyProtection="1">
      <alignment horizontal="center" vertical="center"/>
      <protection/>
    </xf>
    <xf numFmtId="4" fontId="84" fillId="33" borderId="0" xfId="47" applyNumberFormat="1" applyFont="1" applyFill="1" applyBorder="1" applyAlignment="1" applyProtection="1">
      <alignment horizontal="center" vertical="center"/>
      <protection/>
    </xf>
    <xf numFmtId="4" fontId="84" fillId="33" borderId="43" xfId="47" applyNumberFormat="1" applyFont="1" applyFill="1" applyBorder="1" applyAlignment="1" applyProtection="1">
      <alignment horizontal="center" vertical="center"/>
      <protection/>
    </xf>
    <xf numFmtId="4" fontId="84" fillId="33" borderId="66" xfId="47" applyNumberFormat="1" applyFont="1" applyFill="1" applyBorder="1" applyAlignment="1" applyProtection="1">
      <alignment horizontal="center" vertical="center"/>
      <protection/>
    </xf>
    <xf numFmtId="4" fontId="84" fillId="33" borderId="10" xfId="47" applyNumberFormat="1" applyFont="1" applyFill="1" applyBorder="1" applyAlignment="1" applyProtection="1">
      <alignment horizontal="center" vertical="center"/>
      <protection/>
    </xf>
    <xf numFmtId="4" fontId="84" fillId="33" borderId="34" xfId="47" applyNumberFormat="1" applyFont="1" applyFill="1" applyBorder="1" applyAlignment="1" applyProtection="1">
      <alignment horizontal="center" vertical="center"/>
      <protection/>
    </xf>
    <xf numFmtId="199" fontId="87" fillId="40" borderId="0" xfId="0" applyNumberFormat="1" applyFont="1" applyFill="1" applyBorder="1" applyAlignment="1">
      <alignment horizontal="center" vertical="center" wrapText="1"/>
    </xf>
    <xf numFmtId="199" fontId="1" fillId="34" borderId="19" xfId="0" applyNumberFormat="1" applyFont="1" applyFill="1" applyBorder="1" applyAlignment="1">
      <alignment horizontal="right" vertical="top" wrapText="1"/>
    </xf>
    <xf numFmtId="199" fontId="1" fillId="34" borderId="24" xfId="0" applyNumberFormat="1" applyFont="1" applyFill="1" applyBorder="1" applyAlignment="1">
      <alignment horizontal="right" vertical="top" wrapText="1"/>
    </xf>
    <xf numFmtId="4" fontId="7" fillId="34" borderId="0" xfId="0" applyNumberFormat="1" applyFont="1" applyFill="1" applyBorder="1" applyAlignment="1">
      <alignment horizontal="right" vertical="center" wrapText="1"/>
    </xf>
    <xf numFmtId="0" fontId="95" fillId="33" borderId="50" xfId="47" applyFont="1" applyFill="1" applyBorder="1" applyAlignment="1" applyProtection="1">
      <alignment horizontal="center" vertical="center" wrapText="1"/>
      <protection locked="0"/>
    </xf>
    <xf numFmtId="0" fontId="95" fillId="33" borderId="67" xfId="47" applyFont="1" applyFill="1" applyBorder="1" applyAlignment="1" applyProtection="1">
      <alignment horizontal="center" vertical="center"/>
      <protection locked="0"/>
    </xf>
    <xf numFmtId="199" fontId="1" fillId="34" borderId="12" xfId="0" applyNumberFormat="1" applyFont="1" applyFill="1" applyBorder="1" applyAlignment="1">
      <alignment horizontal="right" vertical="center" wrapText="1"/>
    </xf>
    <xf numFmtId="199" fontId="1" fillId="34" borderId="14" xfId="0" applyNumberFormat="1" applyFont="1" applyFill="1" applyBorder="1" applyAlignment="1">
      <alignment horizontal="right" vertical="center" wrapText="1"/>
    </xf>
    <xf numFmtId="4" fontId="155" fillId="34" borderId="30" xfId="0" applyNumberFormat="1" applyFont="1" applyFill="1" applyBorder="1" applyAlignment="1">
      <alignment horizontal="center"/>
    </xf>
    <xf numFmtId="4" fontId="154" fillId="34" borderId="30" xfId="0" applyNumberFormat="1" applyFont="1" applyFill="1" applyBorder="1" applyAlignment="1">
      <alignment horizontal="center"/>
    </xf>
    <xf numFmtId="4" fontId="1" fillId="34" borderId="3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  <xf numFmtId="0" fontId="89" fillId="34" borderId="68" xfId="47" applyFont="1" applyFill="1" applyBorder="1" applyAlignment="1" applyProtection="1">
      <alignment horizontal="center" vertical="center"/>
      <protection locked="0"/>
    </xf>
    <xf numFmtId="0" fontId="89" fillId="34" borderId="69" xfId="47" applyFont="1" applyFill="1" applyBorder="1" applyAlignment="1" applyProtection="1">
      <alignment horizontal="center" vertical="center"/>
      <protection locked="0"/>
    </xf>
    <xf numFmtId="0" fontId="89" fillId="34" borderId="70" xfId="47" applyFont="1" applyFill="1" applyBorder="1" applyAlignment="1" applyProtection="1">
      <alignment horizontal="center" vertical="center"/>
      <protection locked="0"/>
    </xf>
    <xf numFmtId="0" fontId="89" fillId="34" borderId="71" xfId="47" applyFont="1" applyFill="1" applyBorder="1" applyAlignment="1" applyProtection="1">
      <alignment horizontal="center" vertical="center"/>
      <protection locked="0"/>
    </xf>
    <xf numFmtId="0" fontId="89" fillId="34" borderId="10" xfId="47" applyFont="1" applyFill="1" applyBorder="1" applyAlignment="1" applyProtection="1">
      <alignment horizontal="center" vertical="center"/>
      <protection locked="0"/>
    </xf>
    <xf numFmtId="0" fontId="89" fillId="34" borderId="34" xfId="47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38" fillId="34" borderId="0" xfId="0" applyFont="1" applyFill="1" applyBorder="1" applyAlignment="1" applyProtection="1">
      <alignment horizontal="right" vertical="center" wrapText="1"/>
      <protection locked="0"/>
    </xf>
    <xf numFmtId="191" fontId="0" fillId="34" borderId="0" xfId="0" applyNumberFormat="1" applyFont="1" applyFill="1" applyBorder="1" applyAlignment="1" applyProtection="1">
      <alignment horizontal="center" vertical="top"/>
      <protection locked="0"/>
    </xf>
    <xf numFmtId="0" fontId="0" fillId="34" borderId="0" xfId="0" applyFont="1" applyFill="1" applyBorder="1" applyAlignment="1" applyProtection="1">
      <alignment horizontal="right" vertical="center"/>
      <protection locked="0"/>
    </xf>
    <xf numFmtId="4" fontId="0" fillId="34" borderId="0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7" fillId="34" borderId="0" xfId="0" applyFont="1" applyFill="1" applyBorder="1" applyAlignment="1" applyProtection="1">
      <alignment horizontal="right" wrapText="1"/>
      <protection locked="0"/>
    </xf>
    <xf numFmtId="200" fontId="47" fillId="34" borderId="0" xfId="46" applyNumberFormat="1" applyFont="1" applyFill="1" applyBorder="1" applyAlignment="1" applyProtection="1">
      <alignment horizontal="left" vertical="center"/>
      <protection locked="0"/>
    </xf>
    <xf numFmtId="197" fontId="0" fillId="34" borderId="0" xfId="46" applyFont="1" applyFill="1" applyBorder="1" applyAlignment="1" applyProtection="1">
      <alignment horizontal="center"/>
      <protection locked="0"/>
    </xf>
    <xf numFmtId="200" fontId="24" fillId="34" borderId="0" xfId="46" applyNumberFormat="1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38" fillId="34" borderId="0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89" fillId="34" borderId="0" xfId="0" applyFont="1" applyFill="1" applyBorder="1" applyAlignment="1" applyProtection="1">
      <alignment horizontal="left" vertical="top"/>
      <protection locked="0"/>
    </xf>
    <xf numFmtId="0" fontId="7" fillId="34" borderId="0" xfId="0" applyFont="1" applyFill="1" applyBorder="1" applyAlignment="1" applyProtection="1">
      <alignment horizontal="left"/>
      <protection locked="0"/>
    </xf>
    <xf numFmtId="0" fontId="46" fillId="34" borderId="0" xfId="0" applyFont="1" applyFill="1" applyBorder="1" applyAlignment="1" applyProtection="1">
      <alignment horizontal="center" wrapText="1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4" fontId="9" fillId="34" borderId="0" xfId="0" applyNumberFormat="1" applyFont="1" applyFill="1" applyBorder="1" applyAlignment="1" applyProtection="1">
      <alignment horizontal="left"/>
      <protection locked="0"/>
    </xf>
    <xf numFmtId="0" fontId="46" fillId="34" borderId="30" xfId="0" applyFont="1" applyFill="1" applyBorder="1" applyAlignment="1" applyProtection="1">
      <alignment horizontal="center" wrapText="1"/>
      <protection locked="0"/>
    </xf>
    <xf numFmtId="0" fontId="9" fillId="34" borderId="30" xfId="0" applyNumberFormat="1" applyFont="1" applyFill="1" applyBorder="1" applyAlignment="1" applyProtection="1">
      <alignment horizontal="center" vertical="top" wrapText="1"/>
      <protection locked="0"/>
    </xf>
    <xf numFmtId="0" fontId="9" fillId="34" borderId="0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0" xfId="0" applyFont="1" applyFill="1" applyAlignment="1" applyProtection="1">
      <alignment horizontal="left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20" fillId="34" borderId="0" xfId="0" applyFont="1" applyFill="1" applyBorder="1" applyAlignment="1" applyProtection="1">
      <alignment horizontal="left" vertical="top" wrapText="1"/>
      <protection/>
    </xf>
    <xf numFmtId="0" fontId="18" fillId="34" borderId="0" xfId="0" applyFont="1" applyFill="1" applyBorder="1" applyAlignment="1" applyProtection="1">
      <alignment/>
      <protection/>
    </xf>
    <xf numFmtId="0" fontId="97" fillId="34" borderId="0" xfId="0" applyFont="1" applyFill="1" applyBorder="1" applyAlignment="1" applyProtection="1">
      <alignment horizontal="center"/>
      <protection/>
    </xf>
    <xf numFmtId="0" fontId="84" fillId="40" borderId="72" xfId="47" applyFont="1" applyFill="1" applyBorder="1" applyAlignment="1" applyProtection="1">
      <alignment horizontal="center"/>
      <protection/>
    </xf>
    <xf numFmtId="0" fontId="84" fillId="40" borderId="73" xfId="47" applyFont="1" applyFill="1" applyBorder="1" applyAlignment="1" applyProtection="1">
      <alignment horizontal="center"/>
      <protection/>
    </xf>
    <xf numFmtId="0" fontId="84" fillId="40" borderId="74" xfId="47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38" fillId="34" borderId="0" xfId="0" applyFont="1" applyFill="1" applyBorder="1" applyAlignment="1" applyProtection="1">
      <alignment horizontal="center" wrapText="1"/>
      <protection/>
    </xf>
    <xf numFmtId="0" fontId="64" fillId="34" borderId="0" xfId="0" applyFont="1" applyFill="1" applyBorder="1" applyAlignment="1" applyProtection="1">
      <alignment horizontal="left" vertical="top" wrapText="1"/>
      <protection/>
    </xf>
    <xf numFmtId="0" fontId="64" fillId="34" borderId="10" xfId="0" applyFont="1" applyFill="1" applyBorder="1" applyAlignment="1" applyProtection="1">
      <alignment horizontal="left" vertical="top" wrapText="1"/>
      <protection/>
    </xf>
    <xf numFmtId="0" fontId="71" fillId="34" borderId="0" xfId="0" applyFont="1" applyFill="1" applyBorder="1" applyAlignment="1" applyProtection="1">
      <alignment horizontal="left"/>
      <protection/>
    </xf>
    <xf numFmtId="0" fontId="27" fillId="34" borderId="0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1" fillId="44" borderId="0" xfId="0" applyFont="1" applyFill="1" applyAlignment="1">
      <alignment horizontal="center" vertical="center" wrapText="1"/>
    </xf>
    <xf numFmtId="0" fontId="98" fillId="34" borderId="0" xfId="0" applyFont="1" applyFill="1" applyAlignment="1">
      <alignment horizontal="left" wrapText="1"/>
    </xf>
    <xf numFmtId="0" fontId="99" fillId="34" borderId="0" xfId="0" applyFont="1" applyFill="1" applyAlignment="1">
      <alignment horizontal="left" wrapText="1"/>
    </xf>
    <xf numFmtId="0" fontId="45" fillId="33" borderId="0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left" vertical="top" wrapText="1"/>
    </xf>
    <xf numFmtId="0" fontId="66" fillId="34" borderId="0" xfId="0" applyFont="1" applyFill="1" applyBorder="1" applyAlignment="1">
      <alignment horizontal="left" vertical="center" wrapText="1"/>
    </xf>
    <xf numFmtId="0" fontId="14" fillId="8" borderId="0" xfId="0" applyFont="1" applyFill="1" applyBorder="1" applyAlignment="1">
      <alignment horizontal="center"/>
    </xf>
    <xf numFmtId="4" fontId="84" fillId="40" borderId="0" xfId="0" applyNumberFormat="1" applyFont="1" applyFill="1" applyBorder="1" applyAlignment="1">
      <alignment horizontal="left" vertical="center"/>
    </xf>
    <xf numFmtId="0" fontId="101" fillId="34" borderId="0" xfId="0" applyFont="1" applyFill="1" applyAlignment="1" applyProtection="1">
      <alignment horizontal="left" wrapText="1"/>
      <protection/>
    </xf>
    <xf numFmtId="0" fontId="102" fillId="34" borderId="0" xfId="0" applyFont="1" applyFill="1" applyAlignment="1" applyProtection="1">
      <alignment horizontal="left" wrapText="1"/>
      <protection/>
    </xf>
    <xf numFmtId="0" fontId="67" fillId="34" borderId="0" xfId="0" applyFont="1" applyFill="1" applyBorder="1" applyAlignment="1" applyProtection="1">
      <alignment horizontal="left" vertical="center" wrapText="1"/>
      <protection/>
    </xf>
    <xf numFmtId="0" fontId="103" fillId="34" borderId="10" xfId="0" applyFont="1" applyFill="1" applyBorder="1" applyAlignment="1" applyProtection="1">
      <alignment horizontal="left" vertical="top" wrapText="1"/>
      <protection/>
    </xf>
    <xf numFmtId="0" fontId="100" fillId="33" borderId="68" xfId="47" applyFont="1" applyFill="1" applyBorder="1" applyAlignment="1" applyProtection="1">
      <alignment horizontal="center" vertical="center"/>
      <protection/>
    </xf>
    <xf numFmtId="0" fontId="100" fillId="33" borderId="69" xfId="47" applyFont="1" applyFill="1" applyBorder="1" applyAlignment="1" applyProtection="1">
      <alignment horizontal="center" vertical="center"/>
      <protection/>
    </xf>
    <xf numFmtId="0" fontId="100" fillId="33" borderId="70" xfId="47" applyFont="1" applyFill="1" applyBorder="1" applyAlignment="1" applyProtection="1">
      <alignment horizontal="center" vertical="center"/>
      <protection/>
    </xf>
    <xf numFmtId="0" fontId="100" fillId="33" borderId="71" xfId="47" applyFont="1" applyFill="1" applyBorder="1" applyAlignment="1" applyProtection="1">
      <alignment horizontal="center" vertical="center"/>
      <protection/>
    </xf>
    <xf numFmtId="0" fontId="100" fillId="33" borderId="10" xfId="47" applyFont="1" applyFill="1" applyBorder="1" applyAlignment="1" applyProtection="1">
      <alignment horizontal="center" vertical="center"/>
      <protection/>
    </xf>
    <xf numFmtId="0" fontId="100" fillId="33" borderId="34" xfId="47" applyFont="1" applyFill="1" applyBorder="1" applyAlignment="1" applyProtection="1">
      <alignment horizontal="center" vertical="center"/>
      <protection/>
    </xf>
    <xf numFmtId="4" fontId="23" fillId="40" borderId="0" xfId="0" applyNumberFormat="1" applyFont="1" applyFill="1" applyBorder="1" applyAlignment="1">
      <alignment horizontal="center" vertical="center" wrapText="1"/>
    </xf>
    <xf numFmtId="2" fontId="23" fillId="40" borderId="0" xfId="0" applyNumberFormat="1" applyFont="1" applyFill="1" applyBorder="1" applyAlignment="1" applyProtection="1">
      <alignment horizontal="center" vertical="center" wrapText="1"/>
      <protection/>
    </xf>
    <xf numFmtId="4" fontId="24" fillId="40" borderId="0" xfId="0" applyNumberFormat="1" applyFont="1" applyFill="1" applyBorder="1" applyAlignment="1" applyProtection="1">
      <alignment horizontal="center" vertical="center"/>
      <protection/>
    </xf>
    <xf numFmtId="0" fontId="19" fillId="40" borderId="0" xfId="0" applyFont="1" applyFill="1" applyBorder="1" applyAlignment="1">
      <alignment horizontal="center"/>
    </xf>
    <xf numFmtId="4" fontId="90" fillId="40" borderId="0" xfId="0" applyNumberFormat="1" applyFont="1" applyFill="1" applyBorder="1" applyAlignment="1">
      <alignment horizontal="left" vertical="center" wrapText="1"/>
    </xf>
    <xf numFmtId="4" fontId="19" fillId="40" borderId="0" xfId="0" applyNumberFormat="1" applyFont="1" applyFill="1" applyBorder="1" applyAlignment="1">
      <alignment horizontal="center" wrapText="1"/>
    </xf>
    <xf numFmtId="0" fontId="67" fillId="34" borderId="0" xfId="0" applyFont="1" applyFill="1" applyBorder="1" applyAlignment="1" applyProtection="1">
      <alignment horizontal="left"/>
      <protection/>
    </xf>
    <xf numFmtId="0" fontId="73" fillId="34" borderId="0" xfId="0" applyFont="1" applyFill="1" applyBorder="1" applyAlignment="1" applyProtection="1">
      <alignment horizontal="left"/>
      <protection/>
    </xf>
    <xf numFmtId="0" fontId="91" fillId="34" borderId="0" xfId="0" applyFont="1" applyFill="1" applyAlignment="1" applyProtection="1">
      <alignment horizontal="left" wrapText="1"/>
      <protection/>
    </xf>
    <xf numFmtId="0" fontId="104" fillId="34" borderId="0" xfId="0" applyFont="1" applyFill="1" applyAlignment="1" applyProtection="1">
      <alignment horizontal="left" wrapText="1"/>
      <protection/>
    </xf>
    <xf numFmtId="0" fontId="105" fillId="34" borderId="0" xfId="0" applyNumberFormat="1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left" vertical="center" wrapText="1"/>
      <protection/>
    </xf>
    <xf numFmtId="0" fontId="106" fillId="34" borderId="0" xfId="0" applyFont="1" applyFill="1" applyBorder="1" applyAlignment="1" applyProtection="1">
      <alignment horizontal="left" vertical="top" wrapText="1"/>
      <protection/>
    </xf>
    <xf numFmtId="0" fontId="107" fillId="34" borderId="0" xfId="0" applyFont="1" applyFill="1" applyBorder="1" applyAlignment="1" applyProtection="1">
      <alignment horizontal="center" vertical="top"/>
      <protection/>
    </xf>
    <xf numFmtId="0" fontId="0" fillId="35" borderId="13" xfId="0" applyFont="1" applyFill="1" applyBorder="1" applyAlignment="1">
      <alignment horizontal="center"/>
    </xf>
    <xf numFmtId="0" fontId="17" fillId="45" borderId="0" xfId="0" applyFont="1" applyFill="1" applyAlignment="1">
      <alignment horizontal="left"/>
    </xf>
    <xf numFmtId="0" fontId="0" fillId="35" borderId="20" xfId="0" applyFill="1" applyBorder="1" applyAlignment="1">
      <alignment horizontal="left"/>
    </xf>
    <xf numFmtId="0" fontId="17" fillId="37" borderId="75" xfId="0" applyFont="1" applyFill="1" applyBorder="1" applyAlignment="1">
      <alignment horizontal="center"/>
    </xf>
    <xf numFmtId="0" fontId="17" fillId="37" borderId="35" xfId="0" applyFont="1" applyFill="1" applyBorder="1" applyAlignment="1">
      <alignment horizontal="center"/>
    </xf>
    <xf numFmtId="0" fontId="17" fillId="37" borderId="76" xfId="0" applyFont="1" applyFill="1" applyBorder="1" applyAlignment="1">
      <alignment horizontal="center"/>
    </xf>
    <xf numFmtId="0" fontId="16" fillId="38" borderId="77" xfId="0" applyFont="1" applyFill="1" applyBorder="1" applyAlignment="1">
      <alignment horizontal="center" vertical="center"/>
    </xf>
    <xf numFmtId="0" fontId="16" fillId="38" borderId="30" xfId="0" applyFont="1" applyFill="1" applyBorder="1" applyAlignment="1">
      <alignment horizontal="center" vertical="center"/>
    </xf>
    <xf numFmtId="0" fontId="16" fillId="38" borderId="31" xfId="0" applyFont="1" applyFill="1" applyBorder="1" applyAlignment="1">
      <alignment horizontal="center" vertical="center"/>
    </xf>
    <xf numFmtId="0" fontId="16" fillId="38" borderId="42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6" fillId="38" borderId="43" xfId="0" applyFont="1" applyFill="1" applyBorder="1" applyAlignment="1">
      <alignment horizontal="center" vertical="center"/>
    </xf>
    <xf numFmtId="0" fontId="16" fillId="38" borderId="33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3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4" fontId="0" fillId="33" borderId="0" xfId="0" applyNumberFormat="1" applyFill="1" applyAlignment="1">
      <alignment horizontal="center"/>
    </xf>
    <xf numFmtId="0" fontId="0" fillId="35" borderId="20" xfId="0" applyFont="1" applyFill="1" applyBorder="1" applyAlignment="1">
      <alignment horizontal="left"/>
    </xf>
    <xf numFmtId="0" fontId="8" fillId="37" borderId="46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0" fontId="14" fillId="39" borderId="75" xfId="0" applyFont="1" applyFill="1" applyBorder="1" applyAlignment="1">
      <alignment horizontal="center"/>
    </xf>
    <xf numFmtId="0" fontId="14" fillId="39" borderId="35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0" fillId="39" borderId="23" xfId="0" applyFont="1" applyFill="1" applyBorder="1" applyAlignment="1">
      <alignment/>
    </xf>
    <xf numFmtId="0" fontId="0" fillId="39" borderId="62" xfId="0" applyFont="1" applyFill="1" applyBorder="1" applyAlignment="1" applyProtection="1">
      <alignment horizontal="center"/>
      <protection locked="0"/>
    </xf>
    <xf numFmtId="0" fontId="0" fillId="39" borderId="78" xfId="0" applyFont="1" applyFill="1" applyBorder="1" applyAlignment="1" applyProtection="1">
      <alignment horizontal="center"/>
      <protection locked="0"/>
    </xf>
    <xf numFmtId="0" fontId="0" fillId="39" borderId="77" xfId="0" applyFont="1" applyFill="1" applyBorder="1" applyAlignment="1">
      <alignment horizontal="center"/>
    </xf>
    <xf numFmtId="0" fontId="0" fillId="39" borderId="30" xfId="0" applyFont="1" applyFill="1" applyBorder="1" applyAlignment="1">
      <alignment horizontal="center"/>
    </xf>
    <xf numFmtId="0" fontId="0" fillId="39" borderId="76" xfId="0" applyFont="1" applyFill="1" applyBorder="1" applyAlignment="1">
      <alignment horizontal="center"/>
    </xf>
    <xf numFmtId="0" fontId="0" fillId="39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center"/>
    </xf>
    <xf numFmtId="0" fontId="0" fillId="39" borderId="75" xfId="0" applyFont="1" applyFill="1" applyBorder="1" applyAlignment="1">
      <alignment horizontal="center"/>
    </xf>
    <xf numFmtId="0" fontId="0" fillId="39" borderId="35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0" fontId="0" fillId="39" borderId="33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34" xfId="0" applyFont="1" applyFill="1" applyBorder="1" applyAlignment="1">
      <alignment horizontal="center"/>
    </xf>
    <xf numFmtId="0" fontId="0" fillId="39" borderId="34" xfId="0" applyFont="1" applyFill="1" applyBorder="1" applyAlignment="1" applyProtection="1">
      <alignment horizontal="center"/>
      <protection locked="0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5" borderId="79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4" fontId="0" fillId="33" borderId="46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4" fontId="0" fillId="33" borderId="20" xfId="0" applyNumberFormat="1" applyFill="1" applyBorder="1" applyAlignment="1">
      <alignment horizontal="center"/>
    </xf>
    <xf numFmtId="4" fontId="0" fillId="33" borderId="79" xfId="0" applyNumberForma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0" xfId="0" applyFont="1" applyFill="1" applyAlignment="1">
      <alignment horizontal="left" wrapText="1"/>
    </xf>
    <xf numFmtId="0" fontId="14" fillId="34" borderId="1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right" vertical="center"/>
    </xf>
    <xf numFmtId="0" fontId="162" fillId="34" borderId="3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 horizontal="right" vertical="center"/>
    </xf>
    <xf numFmtId="0" fontId="108" fillId="34" borderId="0" xfId="0" applyFont="1" applyFill="1" applyBorder="1" applyAlignment="1">
      <alignment horizontal="right" vertical="center" textRotation="90"/>
    </xf>
    <xf numFmtId="0" fontId="6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right" vertical="center" wrapText="1"/>
    </xf>
    <xf numFmtId="4" fontId="0" fillId="34" borderId="0" xfId="0" applyNumberFormat="1" applyFont="1" applyFill="1" applyBorder="1" applyAlignment="1">
      <alignment horizontal="center" vertical="center"/>
    </xf>
    <xf numFmtId="209" fontId="36" fillId="34" borderId="0" xfId="0" applyNumberFormat="1" applyFont="1" applyFill="1" applyBorder="1" applyAlignment="1">
      <alignment horizontal="right"/>
    </xf>
    <xf numFmtId="4" fontId="50" fillId="34" borderId="19" xfId="0" applyNumberFormat="1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4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4" fontId="7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209" fontId="0" fillId="34" borderId="12" xfId="0" applyNumberFormat="1" applyFont="1" applyFill="1" applyBorder="1" applyAlignment="1">
      <alignment horizontal="right" vertical="center"/>
    </xf>
    <xf numFmtId="200" fontId="9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4" fontId="29" fillId="34" borderId="0" xfId="0" applyNumberFormat="1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4" fontId="39" fillId="34" borderId="12" xfId="0" applyNumberFormat="1" applyFont="1" applyFill="1" applyBorder="1" applyAlignment="1">
      <alignment horizontal="center" vertical="center" wrapText="1"/>
    </xf>
    <xf numFmtId="4" fontId="39" fillId="34" borderId="0" xfId="0" applyNumberFormat="1" applyFont="1" applyFill="1" applyBorder="1" applyAlignment="1">
      <alignment horizontal="center" vertical="center" wrapText="1"/>
    </xf>
    <xf numFmtId="0" fontId="163" fillId="34" borderId="0" xfId="0" applyFont="1" applyFill="1" applyBorder="1" applyAlignment="1">
      <alignment horizontal="right" vertical="center" wrapText="1"/>
    </xf>
    <xf numFmtId="0" fontId="31" fillId="34" borderId="0" xfId="0" applyFont="1" applyFill="1" applyAlignment="1">
      <alignment horizontal="right" textRotation="180" wrapText="1"/>
    </xf>
    <xf numFmtId="0" fontId="1" fillId="34" borderId="0" xfId="0" applyFont="1" applyFill="1" applyAlignment="1">
      <alignment horizontal="right"/>
    </xf>
    <xf numFmtId="4" fontId="39" fillId="34" borderId="12" xfId="0" applyNumberFormat="1" applyFont="1" applyFill="1" applyBorder="1" applyAlignment="1">
      <alignment horizontal="center" vertical="center"/>
    </xf>
    <xf numFmtId="4" fontId="39" fillId="34" borderId="0" xfId="0" applyNumberFormat="1" applyFont="1" applyFill="1" applyBorder="1" applyAlignment="1">
      <alignment horizontal="center" vertical="center"/>
    </xf>
    <xf numFmtId="4" fontId="39" fillId="34" borderId="11" xfId="0" applyNumberFormat="1" applyFont="1" applyFill="1" applyBorder="1" applyAlignment="1">
      <alignment horizontal="right"/>
    </xf>
    <xf numFmtId="0" fontId="0" fillId="34" borderId="0" xfId="0" applyFont="1" applyFill="1" applyAlignment="1">
      <alignment horizontal="right"/>
    </xf>
    <xf numFmtId="4" fontId="0" fillId="34" borderId="0" xfId="0" applyNumberFormat="1" applyFont="1" applyFill="1" applyAlignment="1">
      <alignment horizontal="right"/>
    </xf>
    <xf numFmtId="0" fontId="0" fillId="34" borderId="19" xfId="0" applyFont="1" applyFill="1" applyBorder="1" applyAlignment="1">
      <alignment horizontal="right"/>
    </xf>
    <xf numFmtId="4" fontId="0" fillId="34" borderId="19" xfId="0" applyNumberFormat="1" applyFont="1" applyFill="1" applyBorder="1" applyAlignment="1">
      <alignment horizontal="right"/>
    </xf>
    <xf numFmtId="0" fontId="1" fillId="34" borderId="0" xfId="0" applyFont="1" applyFill="1" applyAlignment="1">
      <alignment horizontal="right" wrapText="1"/>
    </xf>
    <xf numFmtId="4" fontId="1" fillId="34" borderId="0" xfId="0" applyNumberFormat="1" applyFont="1" applyFill="1" applyAlignment="1">
      <alignment horizontal="right" vertical="center"/>
    </xf>
    <xf numFmtId="0" fontId="1" fillId="34" borderId="0" xfId="0" applyFont="1" applyFill="1" applyAlignment="1">
      <alignment horizontal="right" vertical="center"/>
    </xf>
    <xf numFmtId="4" fontId="29" fillId="34" borderId="0" xfId="0" applyNumberFormat="1" applyFont="1" applyFill="1" applyAlignment="1">
      <alignment horizontal="center" vertical="center" wrapText="1"/>
    </xf>
    <xf numFmtId="0" fontId="29" fillId="34" borderId="0" xfId="0" applyFont="1" applyFill="1" applyAlignment="1">
      <alignment horizontal="center" vertical="center" wrapText="1"/>
    </xf>
    <xf numFmtId="0" fontId="30" fillId="34" borderId="0" xfId="0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left" vertical="center"/>
    </xf>
    <xf numFmtId="4" fontId="0" fillId="34" borderId="0" xfId="0" applyNumberFormat="1" applyFont="1" applyFill="1" applyBorder="1" applyAlignment="1">
      <alignment horizontal="right"/>
    </xf>
    <xf numFmtId="0" fontId="155" fillId="34" borderId="0" xfId="0" applyFont="1" applyFill="1" applyBorder="1" applyAlignment="1">
      <alignment horizontal="left"/>
    </xf>
    <xf numFmtId="4" fontId="7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right" wrapText="1"/>
    </xf>
    <xf numFmtId="0" fontId="1" fillId="34" borderId="0" xfId="0" applyFont="1" applyFill="1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49">
    <dxf>
      <border>
        <bottom style="thin"/>
      </border>
    </dxf>
    <dxf>
      <border>
        <left>
          <color indexed="63"/>
        </left>
        <right>
          <color indexed="63"/>
        </right>
        <top style="thin"/>
        <bottom style="thin"/>
      </border>
    </dxf>
    <dxf>
      <border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border>
        <left/>
        <right/>
        <top/>
        <bottom/>
      </border>
    </dxf>
    <dxf>
      <font>
        <color indexed="22"/>
      </font>
    </dxf>
    <dxf>
      <font>
        <color indexed="22"/>
      </font>
    </dxf>
    <dxf>
      <font>
        <color indexed="22"/>
      </font>
    </dxf>
    <dxf>
      <fill>
        <patternFill>
          <bgColor indexed="42"/>
        </patternFill>
      </fill>
    </dxf>
    <dxf>
      <font>
        <color auto="1"/>
      </font>
      <fill>
        <patternFill>
          <fgColor indexed="44"/>
          <bgColor indexed="4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44"/>
          <bgColor indexed="43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44"/>
          <bgColor indexed="43"/>
        </patternFill>
      </fill>
    </dxf>
    <dxf>
      <font>
        <color theme="0" tint="-0.24993999302387238"/>
      </font>
    </dxf>
    <dxf>
      <font>
        <color indexed="22"/>
      </font>
    </dxf>
    <dxf>
      <font>
        <color theme="0" tint="-0.24993999302387238"/>
      </font>
    </dxf>
    <dxf>
      <font>
        <color indexed="22"/>
      </font>
    </dxf>
    <dxf>
      <font>
        <color theme="0" tint="-0.24993999302387238"/>
      </font>
    </dxf>
    <dxf>
      <font>
        <color indexed="22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 val="0"/>
        <i val="0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 val="0"/>
        <i val="0"/>
      </font>
      <fill>
        <patternFill>
          <bgColor indexed="10"/>
        </patternFill>
      </fill>
    </dxf>
    <dxf>
      <fill>
        <patternFill>
          <bgColor theme="0" tint="-0.149959996342659"/>
        </patternFill>
      </fill>
    </dxf>
    <dxf>
      <font>
        <name val="Cambria"/>
        <color rgb="FFFF0000"/>
      </font>
      <fill>
        <patternFill patternType="solid">
          <bgColor theme="0" tint="-0.149959996342659"/>
        </patternFill>
      </fill>
    </dxf>
    <dxf>
      <font>
        <name val="Cambria"/>
        <color auto="1"/>
      </font>
    </dxf>
    <dxf>
      <font>
        <color auto="1"/>
      </font>
      <border/>
    </dxf>
    <dxf>
      <font>
        <color rgb="FFFF0000"/>
      </font>
      <fill>
        <patternFill patternType="solid">
          <bgColor theme="0" tint="-0.149959996342659"/>
        </patternFill>
      </fill>
      <border/>
    </dxf>
    <dxf>
      <border>
        <top style="thin"/>
        <bottom style="thin">
          <color rgb="FF000000"/>
        </bottom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85725</xdr:rowOff>
    </xdr:from>
    <xdr:ext cx="76200" cy="200025"/>
    <xdr:sp fLocksText="0">
      <xdr:nvSpPr>
        <xdr:cNvPr id="1" name="Text Box 51"/>
        <xdr:cNvSpPr txBox="1">
          <a:spLocks noChangeArrowheads="1"/>
        </xdr:cNvSpPr>
      </xdr:nvSpPr>
      <xdr:spPr>
        <a:xfrm>
          <a:off x="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695325</xdr:colOff>
      <xdr:row>0</xdr:row>
      <xdr:rowOff>76200</xdr:rowOff>
    </xdr:from>
    <xdr:to>
      <xdr:col>3</xdr:col>
      <xdr:colOff>38100</xdr:colOff>
      <xdr:row>4</xdr:row>
      <xdr:rowOff>0</xdr:rowOff>
    </xdr:to>
    <xdr:pic>
      <xdr:nvPicPr>
        <xdr:cNvPr id="2" name="Picture 128"/>
        <xdr:cNvPicPr preferRelativeResize="1">
          <a:picLocks noChangeAspect="1"/>
        </xdr:cNvPicPr>
      </xdr:nvPicPr>
      <xdr:blipFill>
        <a:blip r:embed="rId1"/>
        <a:srcRect r="61972"/>
        <a:stretch>
          <a:fillRect/>
        </a:stretch>
      </xdr:blipFill>
      <xdr:spPr>
        <a:xfrm>
          <a:off x="695325" y="76200"/>
          <a:ext cx="419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0</xdr:rowOff>
    </xdr:from>
    <xdr:to>
      <xdr:col>8</xdr:col>
      <xdr:colOff>800100</xdr:colOff>
      <xdr:row>6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7715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76200</xdr:colOff>
      <xdr:row>39</xdr:row>
      <xdr:rowOff>200025</xdr:rowOff>
    </xdr:from>
    <xdr:to>
      <xdr:col>13</xdr:col>
      <xdr:colOff>1533525</xdr:colOff>
      <xdr:row>41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7086600"/>
          <a:ext cx="26289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95250</xdr:rowOff>
    </xdr:from>
    <xdr:to>
      <xdr:col>2</xdr:col>
      <xdr:colOff>828675</xdr:colOff>
      <xdr:row>0</xdr:row>
      <xdr:rowOff>381000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525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0</xdr:rowOff>
    </xdr:from>
    <xdr:to>
      <xdr:col>2</xdr:col>
      <xdr:colOff>666750</xdr:colOff>
      <xdr:row>3</xdr:row>
      <xdr:rowOff>228600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rcRect r="63716"/>
        <a:stretch>
          <a:fillRect/>
        </a:stretch>
      </xdr:blipFill>
      <xdr:spPr>
        <a:xfrm>
          <a:off x="2085975" y="0"/>
          <a:ext cx="409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1</xdr:col>
      <xdr:colOff>523875</xdr:colOff>
      <xdr:row>4</xdr:row>
      <xdr:rowOff>28575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885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152400</xdr:rowOff>
    </xdr:from>
    <xdr:to>
      <xdr:col>1</xdr:col>
      <xdr:colOff>1581150</xdr:colOff>
      <xdr:row>8</xdr:row>
      <xdr:rowOff>133350</xdr:rowOff>
    </xdr:to>
    <xdr:sp>
      <xdr:nvSpPr>
        <xdr:cNvPr id="2" name="AutoShape 36"/>
        <xdr:cNvSpPr>
          <a:spLocks/>
        </xdr:cNvSpPr>
      </xdr:nvSpPr>
      <xdr:spPr>
        <a:xfrm>
          <a:off x="228600" y="1009650"/>
          <a:ext cx="1771650" cy="495300"/>
        </a:xfrm>
        <a:prstGeom prst="rightArrowCallout">
          <a:avLst>
            <a:gd name="adj1" fmla="val 28305"/>
            <a:gd name="adj2" fmla="val -28689"/>
            <a:gd name="adj3" fmla="val 37486"/>
            <a:gd name="adj4" fmla="val -737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INTRODUZCA EL/LOS NÚMERO/S CORRESPONDIENTE/S A LA FÓRMULA/S TIPO  </a:t>
          </a:r>
        </a:p>
      </xdr:txBody>
    </xdr:sp>
    <xdr:clientData/>
  </xdr:twoCellAnchor>
  <xdr:twoCellAnchor editAs="oneCell">
    <xdr:from>
      <xdr:col>3</xdr:col>
      <xdr:colOff>381000</xdr:colOff>
      <xdr:row>1</xdr:row>
      <xdr:rowOff>28575</xdr:rowOff>
    </xdr:from>
    <xdr:to>
      <xdr:col>3</xdr:col>
      <xdr:colOff>1162050</xdr:colOff>
      <xdr:row>2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905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76200</xdr:rowOff>
    </xdr:from>
    <xdr:to>
      <xdr:col>2</xdr:col>
      <xdr:colOff>1190625</xdr:colOff>
      <xdr:row>3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64151"/>
        <a:stretch>
          <a:fillRect/>
        </a:stretch>
      </xdr:blipFill>
      <xdr:spPr>
        <a:xfrm>
          <a:off x="2476500" y="76200"/>
          <a:ext cx="361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95250</xdr:rowOff>
    </xdr:from>
    <xdr:to>
      <xdr:col>2</xdr:col>
      <xdr:colOff>171450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95250"/>
          <a:ext cx="88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3</xdr:col>
      <xdr:colOff>323850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8100"/>
          <a:ext cx="876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85725</xdr:rowOff>
    </xdr:from>
    <xdr:to>
      <xdr:col>4</xdr:col>
      <xdr:colOff>628650</xdr:colOff>
      <xdr:row>1</xdr:row>
      <xdr:rowOff>314325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5725"/>
          <a:ext cx="904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eh.es/es-ES/Servicios/Contratacion/Junta%20Consultiva%20de%20Contratacion%20Administrativa/Paginas/Indicesdeprecios.asp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Y67"/>
  <sheetViews>
    <sheetView showGridLines="0" zoomScale="85" zoomScaleNormal="85" zoomScalePageLayoutView="0" workbookViewId="0" topLeftCell="B1">
      <selection activeCell="D7" sqref="D7"/>
    </sheetView>
  </sheetViews>
  <sheetFormatPr defaultColWidth="11.421875" defaultRowHeight="12.75"/>
  <cols>
    <col min="1" max="1" width="1.421875" style="0" hidden="1" customWidth="1"/>
    <col min="2" max="2" width="15.00390625" style="0" customWidth="1"/>
    <col min="3" max="3" width="1.1484375" style="0" customWidth="1"/>
    <col min="4" max="4" width="7.57421875" style="0" customWidth="1"/>
    <col min="5" max="5" width="11.28125" style="0" customWidth="1"/>
    <col min="6" max="6" width="17.140625" style="0" customWidth="1"/>
    <col min="7" max="7" width="9.00390625" style="0" customWidth="1"/>
    <col min="8" max="8" width="14.28125" style="0" customWidth="1"/>
    <col min="9" max="9" width="16.421875" style="0" customWidth="1"/>
    <col min="10" max="10" width="11.8515625" style="0" customWidth="1"/>
    <col min="11" max="11" width="1.7109375" style="0" customWidth="1"/>
    <col min="12" max="12" width="15.421875" style="8" customWidth="1"/>
    <col min="13" max="13" width="2.140625" style="0" customWidth="1"/>
    <col min="14" max="14" width="23.421875" style="0" customWidth="1"/>
    <col min="15" max="15" width="8.421875" style="0" customWidth="1"/>
    <col min="16" max="16" width="1.28515625" style="0" customWidth="1"/>
    <col min="19" max="19" width="2.8515625" style="0" customWidth="1"/>
    <col min="21" max="21" width="2.7109375" style="0" customWidth="1"/>
  </cols>
  <sheetData>
    <row r="1" spans="1:25" ht="12.75" customHeight="1" thickBot="1">
      <c r="A1" s="75"/>
      <c r="B1" s="75"/>
      <c r="C1" s="75"/>
      <c r="D1" s="543" t="s">
        <v>363</v>
      </c>
      <c r="E1" s="544"/>
      <c r="F1" s="544"/>
      <c r="G1" s="544"/>
      <c r="H1" s="75"/>
      <c r="I1" s="75"/>
      <c r="J1" s="17"/>
      <c r="K1" s="17"/>
      <c r="L1" s="133"/>
      <c r="M1" s="17"/>
      <c r="N1" s="17"/>
      <c r="O1" s="17"/>
      <c r="P1" s="17"/>
      <c r="Q1" s="159"/>
      <c r="R1" s="159"/>
      <c r="S1" s="159"/>
      <c r="T1" s="159"/>
      <c r="U1" s="159"/>
      <c r="V1" s="159"/>
      <c r="W1" s="159"/>
      <c r="X1" s="159"/>
      <c r="Y1" s="159"/>
    </row>
    <row r="2" spans="1:25" ht="21" customHeight="1">
      <c r="A2" s="75"/>
      <c r="B2" s="75"/>
      <c r="C2" s="75"/>
      <c r="D2" s="544"/>
      <c r="E2" s="544"/>
      <c r="F2" s="544"/>
      <c r="G2" s="544"/>
      <c r="H2" s="75"/>
      <c r="I2" s="75"/>
      <c r="J2" s="547" t="s">
        <v>314</v>
      </c>
      <c r="K2" s="534" t="s">
        <v>350</v>
      </c>
      <c r="L2" s="535"/>
      <c r="M2" s="535"/>
      <c r="N2" s="535"/>
      <c r="O2" s="536"/>
      <c r="P2" s="19"/>
      <c r="Q2" s="159"/>
      <c r="R2" s="159"/>
      <c r="S2" s="159"/>
      <c r="T2" s="159"/>
      <c r="U2" s="159"/>
      <c r="V2" s="159"/>
      <c r="W2" s="159"/>
      <c r="X2" s="159"/>
      <c r="Y2" s="159"/>
    </row>
    <row r="3" spans="1:25" ht="18" customHeight="1">
      <c r="A3" s="75"/>
      <c r="B3" s="75"/>
      <c r="C3" s="75"/>
      <c r="D3" s="530" t="s">
        <v>354</v>
      </c>
      <c r="E3" s="530"/>
      <c r="F3" s="530"/>
      <c r="G3" s="530"/>
      <c r="H3" s="75"/>
      <c r="I3" s="75"/>
      <c r="J3" s="547"/>
      <c r="K3" s="537"/>
      <c r="L3" s="538"/>
      <c r="M3" s="538"/>
      <c r="N3" s="538"/>
      <c r="O3" s="539"/>
      <c r="P3" s="19"/>
      <c r="Q3" s="159"/>
      <c r="R3" s="159"/>
      <c r="S3" s="159"/>
      <c r="T3" s="159"/>
      <c r="U3" s="159"/>
      <c r="V3" s="159"/>
      <c r="W3" s="159"/>
      <c r="X3" s="159"/>
      <c r="Y3" s="159"/>
    </row>
    <row r="4" spans="1:25" ht="9" customHeight="1">
      <c r="A4" s="75"/>
      <c r="B4" s="75"/>
      <c r="C4" s="75"/>
      <c r="D4" s="533" t="s">
        <v>364</v>
      </c>
      <c r="E4" s="533"/>
      <c r="F4" s="533"/>
      <c r="G4" s="533"/>
      <c r="H4" s="134"/>
      <c r="I4" s="75"/>
      <c r="J4" s="547"/>
      <c r="K4" s="537"/>
      <c r="L4" s="538"/>
      <c r="M4" s="538"/>
      <c r="N4" s="538"/>
      <c r="O4" s="539"/>
      <c r="P4" s="19"/>
      <c r="Q4" s="159"/>
      <c r="R4" s="159"/>
      <c r="S4" s="159"/>
      <c r="T4" s="159"/>
      <c r="U4" s="159"/>
      <c r="V4" s="159"/>
      <c r="W4" s="159"/>
      <c r="X4" s="159"/>
      <c r="Y4" s="159"/>
    </row>
    <row r="5" spans="1:25" ht="12.75">
      <c r="A5" s="75"/>
      <c r="B5" s="75"/>
      <c r="C5" s="75"/>
      <c r="D5" s="533"/>
      <c r="E5" s="533"/>
      <c r="F5" s="533"/>
      <c r="G5" s="533"/>
      <c r="H5" s="75"/>
      <c r="I5" s="75"/>
      <c r="J5" s="547"/>
      <c r="K5" s="537"/>
      <c r="L5" s="538"/>
      <c r="M5" s="538"/>
      <c r="N5" s="538"/>
      <c r="O5" s="539"/>
      <c r="P5" s="17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9.75" customHeight="1" thickBot="1">
      <c r="A6" s="75"/>
      <c r="B6" s="75"/>
      <c r="C6" s="75"/>
      <c r="D6" s="533"/>
      <c r="E6" s="533"/>
      <c r="F6" s="533"/>
      <c r="G6" s="533"/>
      <c r="H6" s="78"/>
      <c r="I6" s="78"/>
      <c r="J6" s="547"/>
      <c r="K6" s="540"/>
      <c r="L6" s="541"/>
      <c r="M6" s="541"/>
      <c r="N6" s="541"/>
      <c r="O6" s="542"/>
      <c r="P6" s="17"/>
      <c r="Q6" s="159"/>
      <c r="R6" s="159"/>
      <c r="S6" s="159"/>
      <c r="T6" s="159"/>
      <c r="U6" s="159"/>
      <c r="V6" s="159"/>
      <c r="W6" s="159"/>
      <c r="X6" s="159"/>
      <c r="Y6" s="159"/>
    </row>
    <row r="7" spans="1:25" ht="12" customHeight="1">
      <c r="A7" s="75"/>
      <c r="B7" s="148"/>
      <c r="C7" s="149"/>
      <c r="D7" s="149"/>
      <c r="E7" s="149"/>
      <c r="F7" s="149"/>
      <c r="G7" s="470" t="s">
        <v>348</v>
      </c>
      <c r="H7" s="86"/>
      <c r="I7" s="75"/>
      <c r="K7" s="150"/>
      <c r="L7" s="150"/>
      <c r="M7" s="150"/>
      <c r="N7" s="150"/>
      <c r="O7" s="150"/>
      <c r="P7" s="150"/>
      <c r="Q7" s="159"/>
      <c r="R7" s="159"/>
      <c r="S7" s="159"/>
      <c r="T7" s="159"/>
      <c r="U7" s="159"/>
      <c r="V7" s="159"/>
      <c r="W7" s="159"/>
      <c r="X7" s="159"/>
      <c r="Y7" s="159"/>
    </row>
    <row r="8" spans="1:25" ht="21" customHeight="1">
      <c r="A8" s="75"/>
      <c r="B8" s="150"/>
      <c r="C8" s="151"/>
      <c r="D8" s="151"/>
      <c r="E8" s="151"/>
      <c r="F8" s="151"/>
      <c r="G8" s="471" t="s">
        <v>231</v>
      </c>
      <c r="H8" s="135"/>
      <c r="I8" s="146"/>
      <c r="J8" s="531" t="s">
        <v>360</v>
      </c>
      <c r="K8" s="532"/>
      <c r="L8" s="532"/>
      <c r="M8" s="85"/>
      <c r="N8" s="545" t="s">
        <v>361</v>
      </c>
      <c r="O8" s="546"/>
      <c r="P8" s="17"/>
      <c r="Q8" s="159"/>
      <c r="R8" s="159"/>
      <c r="S8" s="159"/>
      <c r="T8" s="159"/>
      <c r="U8" s="159"/>
      <c r="V8" s="159"/>
      <c r="W8" s="159"/>
      <c r="X8" s="159"/>
      <c r="Y8" s="159"/>
    </row>
    <row r="9" spans="1:25" ht="12" customHeight="1" thickBot="1">
      <c r="A9" s="152"/>
      <c r="B9" s="152"/>
      <c r="C9" s="152"/>
      <c r="D9" s="152"/>
      <c r="E9" s="152"/>
      <c r="F9" s="152"/>
      <c r="G9" s="152"/>
      <c r="H9" s="153"/>
      <c r="I9" s="153"/>
      <c r="J9" s="548"/>
      <c r="K9" s="548"/>
      <c r="L9" s="548"/>
      <c r="M9" s="154"/>
      <c r="N9" s="512"/>
      <c r="O9" s="513"/>
      <c r="P9" s="417">
        <f>AUXILIAR!D11</f>
        <v>1</v>
      </c>
      <c r="Q9" s="159"/>
      <c r="R9" s="159"/>
      <c r="S9" s="159"/>
      <c r="T9" s="159"/>
      <c r="U9" s="159"/>
      <c r="V9" s="159"/>
      <c r="W9" s="159"/>
      <c r="X9" s="159"/>
      <c r="Y9" s="159"/>
    </row>
    <row r="10" spans="1:25" ht="18">
      <c r="A10" s="330"/>
      <c r="B10" s="501" t="s">
        <v>175</v>
      </c>
      <c r="C10" s="501"/>
      <c r="D10" s="501"/>
      <c r="E10" s="501"/>
      <c r="F10" s="501"/>
      <c r="G10" s="501"/>
      <c r="H10" s="501"/>
      <c r="I10" s="472"/>
      <c r="J10" s="506" t="s">
        <v>154</v>
      </c>
      <c r="K10" s="506"/>
      <c r="L10" s="506"/>
      <c r="M10" s="523"/>
      <c r="N10" s="523"/>
      <c r="O10" s="523"/>
      <c r="P10" s="330">
        <f>AUXILIAR!B13</f>
        <v>3</v>
      </c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25" s="21" customFormat="1" ht="16.5" customHeight="1">
      <c r="A11" s="331"/>
      <c r="B11" s="433" t="s">
        <v>72</v>
      </c>
      <c r="C11" s="434"/>
      <c r="D11" s="332"/>
      <c r="E11" s="434"/>
      <c r="F11" s="434" t="s">
        <v>70</v>
      </c>
      <c r="G11" s="332"/>
      <c r="H11" s="332"/>
      <c r="I11" s="77" t="s">
        <v>71</v>
      </c>
      <c r="J11" s="333"/>
      <c r="K11" s="514" t="s">
        <v>77</v>
      </c>
      <c r="L11" s="514"/>
      <c r="M11" s="525" t="str">
        <f>AUXILIAR!A13</f>
        <v>LCSP del 2008</v>
      </c>
      <c r="N11" s="525"/>
      <c r="O11" s="435"/>
      <c r="P11" s="331"/>
      <c r="Q11" s="159"/>
      <c r="R11" s="159"/>
      <c r="S11" s="159"/>
      <c r="T11" s="159"/>
      <c r="U11" s="159"/>
      <c r="V11" s="159"/>
      <c r="W11" s="159"/>
      <c r="X11" s="159"/>
      <c r="Y11" s="159"/>
    </row>
    <row r="12" spans="1:25" ht="12.75" customHeight="1">
      <c r="A12" s="17"/>
      <c r="B12" s="435"/>
      <c r="C12" s="435"/>
      <c r="D12" s="435"/>
      <c r="E12" s="435"/>
      <c r="F12" s="435"/>
      <c r="G12" s="333"/>
      <c r="H12" s="333"/>
      <c r="I12" s="333"/>
      <c r="J12" s="333"/>
      <c r="K12" s="514" t="s">
        <v>57</v>
      </c>
      <c r="L12" s="514"/>
      <c r="M12" s="525" t="str">
        <f>AUXILIAR!A12</f>
        <v>Reglamento 2001</v>
      </c>
      <c r="N12" s="525"/>
      <c r="O12" s="435"/>
      <c r="P12" s="17"/>
      <c r="Q12" s="159"/>
      <c r="R12" s="159"/>
      <c r="S12" s="159"/>
      <c r="T12" s="159"/>
      <c r="U12" s="159"/>
      <c r="V12" s="159"/>
      <c r="W12" s="159"/>
      <c r="X12" s="159"/>
      <c r="Y12" s="159"/>
    </row>
    <row r="13" spans="1:25" ht="13.5" thickBot="1">
      <c r="A13" s="17"/>
      <c r="B13" s="464"/>
      <c r="C13" s="435"/>
      <c r="D13" s="435"/>
      <c r="E13" s="435"/>
      <c r="F13" s="435"/>
      <c r="G13" s="333"/>
      <c r="H13" s="333"/>
      <c r="I13" s="333"/>
      <c r="J13" s="334"/>
      <c r="K13" s="334"/>
      <c r="L13" s="335"/>
      <c r="M13" s="334"/>
      <c r="N13" s="334"/>
      <c r="O13" s="334"/>
      <c r="P13" s="17"/>
      <c r="Q13" s="159"/>
      <c r="R13" s="159"/>
      <c r="S13" s="159"/>
      <c r="T13" s="159"/>
      <c r="U13" s="159"/>
      <c r="V13" s="159"/>
      <c r="W13" s="159"/>
      <c r="X13" s="159"/>
      <c r="Y13" s="159"/>
    </row>
    <row r="14" spans="1:25" ht="15.75" customHeight="1" hidden="1">
      <c r="A14" s="17"/>
      <c r="B14" s="522"/>
      <c r="C14" s="522"/>
      <c r="D14" s="522"/>
      <c r="E14" s="522"/>
      <c r="F14" s="522"/>
      <c r="G14" s="522"/>
      <c r="H14" s="522"/>
      <c r="I14" s="522"/>
      <c r="J14" s="334"/>
      <c r="K14" s="334"/>
      <c r="L14" s="335"/>
      <c r="M14" s="334"/>
      <c r="N14" s="334"/>
      <c r="O14" s="334"/>
      <c r="P14" s="17"/>
      <c r="Q14" s="159"/>
      <c r="R14" s="159"/>
      <c r="S14" s="159"/>
      <c r="T14" s="159"/>
      <c r="U14" s="159"/>
      <c r="V14" s="159"/>
      <c r="W14" s="159"/>
      <c r="X14" s="159"/>
      <c r="Y14" s="159"/>
    </row>
    <row r="15" spans="1:25" ht="18">
      <c r="A15" s="17"/>
      <c r="B15" s="501" t="str">
        <f>+IF(AUXILIAR!B13&lt;5,"FECHA DE LICITACIÓN","MENOR ENTRE ADJ Y LIM.PRES.OFERTAS + 3MESES")</f>
        <v>FECHA DE LICITACIÓN</v>
      </c>
      <c r="C15" s="501"/>
      <c r="D15" s="501"/>
      <c r="E15" s="501"/>
      <c r="F15" s="501"/>
      <c r="G15" s="501"/>
      <c r="H15" s="501"/>
      <c r="I15" s="436"/>
      <c r="J15" s="437"/>
      <c r="K15" s="527"/>
      <c r="L15" s="527"/>
      <c r="M15" s="527"/>
      <c r="N15" s="527"/>
      <c r="O15" s="334"/>
      <c r="P15" s="17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ht="18.75" customHeight="1">
      <c r="A16" s="17"/>
      <c r="B16" s="433" t="s">
        <v>72</v>
      </c>
      <c r="C16" s="434"/>
      <c r="D16" s="332"/>
      <c r="E16" s="434"/>
      <c r="F16" s="434" t="s">
        <v>70</v>
      </c>
      <c r="G16" s="332"/>
      <c r="H16" s="332"/>
      <c r="I16" s="77" t="s">
        <v>71</v>
      </c>
      <c r="J16" s="334"/>
      <c r="K16" s="333"/>
      <c r="L16" s="332"/>
      <c r="M16" s="333"/>
      <c r="N16" s="333"/>
      <c r="O16" s="334"/>
      <c r="P16" s="17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ht="16.5" customHeight="1" thickBot="1">
      <c r="A17" s="17"/>
      <c r="B17" s="332"/>
      <c r="C17" s="332"/>
      <c r="D17" s="332"/>
      <c r="E17" s="332"/>
      <c r="F17" s="332"/>
      <c r="G17" s="333"/>
      <c r="H17" s="333"/>
      <c r="I17" s="333"/>
      <c r="J17" s="334"/>
      <c r="K17" s="333"/>
      <c r="L17" s="438"/>
      <c r="M17" s="438"/>
      <c r="N17" s="438"/>
      <c r="O17" s="334"/>
      <c r="P17" s="17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2.75" customHeight="1" hidden="1">
      <c r="A18" s="17"/>
      <c r="B18" s="250"/>
      <c r="C18" s="250"/>
      <c r="D18" s="250"/>
      <c r="E18" s="250"/>
      <c r="F18" s="250"/>
      <c r="G18" s="251"/>
      <c r="H18" s="251"/>
      <c r="I18" s="251"/>
      <c r="J18" s="334"/>
      <c r="K18" s="334"/>
      <c r="L18" s="438"/>
      <c r="M18" s="438"/>
      <c r="N18" s="438"/>
      <c r="O18" s="334"/>
      <c r="P18" s="17"/>
      <c r="Q18" s="159"/>
      <c r="R18" s="159"/>
      <c r="S18" s="159"/>
      <c r="T18" s="159"/>
      <c r="U18" s="159"/>
      <c r="V18" s="159"/>
      <c r="W18" s="159"/>
      <c r="X18" s="159"/>
      <c r="Y18" s="159"/>
    </row>
    <row r="19" spans="1:25" ht="15.75" customHeight="1" hidden="1">
      <c r="A19" s="17"/>
      <c r="B19" s="526">
        <f>IF(AUXILIAR!D3&lt;AUXILIAR!D25,"ATENCIÓN: ESTA FECHA NO PUEDE SER ANTERIOR A LA DE PUBLICACIÓN",IF(AUXILIAR!D3=AUXILIAR!D25,IF(AUXILIAR!A3&lt;AUXILIAR!A25,"ATENCIÓN: ESTA FECHA NO PUEDE SER ANTERIOR A LA DE PUBLICACIÓN",""),""))</f>
      </c>
      <c r="C19" s="526"/>
      <c r="D19" s="526"/>
      <c r="E19" s="526"/>
      <c r="F19" s="526"/>
      <c r="G19" s="526"/>
      <c r="H19" s="526"/>
      <c r="I19" s="526"/>
      <c r="J19" s="333"/>
      <c r="K19" s="333"/>
      <c r="L19" s="438"/>
      <c r="M19" s="438"/>
      <c r="N19" s="438"/>
      <c r="O19" s="333"/>
      <c r="P19" s="17"/>
      <c r="Q19" s="159"/>
      <c r="R19" s="159"/>
      <c r="S19" s="159"/>
      <c r="T19" s="159"/>
      <c r="U19" s="159"/>
      <c r="V19" s="159"/>
      <c r="W19" s="159"/>
      <c r="X19" s="159"/>
      <c r="Y19" s="159"/>
    </row>
    <row r="20" spans="1:25" ht="18" customHeight="1">
      <c r="A20" s="17"/>
      <c r="B20" s="501" t="str">
        <f>IF(AUXILIAR!B13&lt;5,"FECHA DE ADJUDICACIÓN","FECHA FIRMA CONTRATO")</f>
        <v>FECHA DE ADJUDICACIÓN</v>
      </c>
      <c r="C20" s="501"/>
      <c r="D20" s="501"/>
      <c r="E20" s="501"/>
      <c r="F20" s="501"/>
      <c r="G20" s="501"/>
      <c r="H20" s="501"/>
      <c r="I20" s="441"/>
      <c r="J20" s="334"/>
      <c r="K20" s="334"/>
      <c r="L20" s="528" t="s">
        <v>346</v>
      </c>
      <c r="M20" s="528"/>
      <c r="N20" s="528"/>
      <c r="O20" s="334"/>
      <c r="P20" s="154"/>
      <c r="Q20" s="159"/>
      <c r="R20" s="159"/>
      <c r="S20" s="159"/>
      <c r="T20" s="159"/>
      <c r="U20" s="159"/>
      <c r="V20" s="159"/>
      <c r="W20" s="159"/>
      <c r="X20" s="159"/>
      <c r="Y20" s="159"/>
    </row>
    <row r="21" spans="1:25" ht="18" customHeight="1">
      <c r="A21" s="19"/>
      <c r="B21" s="433" t="s">
        <v>72</v>
      </c>
      <c r="C21" s="434"/>
      <c r="D21" s="332"/>
      <c r="E21" s="434"/>
      <c r="F21" s="434" t="s">
        <v>70</v>
      </c>
      <c r="G21" s="332"/>
      <c r="H21" s="332"/>
      <c r="I21" s="77" t="s">
        <v>71</v>
      </c>
      <c r="J21" s="333"/>
      <c r="K21" s="333"/>
      <c r="L21" s="528"/>
      <c r="M21" s="528"/>
      <c r="N21" s="528"/>
      <c r="O21" s="336"/>
      <c r="P21" s="336"/>
      <c r="Q21" s="159"/>
      <c r="R21" s="159"/>
      <c r="S21" s="159"/>
      <c r="T21" s="159"/>
      <c r="U21" s="159"/>
      <c r="V21" s="159"/>
      <c r="W21" s="159"/>
      <c r="X21" s="159"/>
      <c r="Y21" s="159"/>
    </row>
    <row r="22" spans="1:25" ht="16.5" customHeight="1">
      <c r="A22" s="19"/>
      <c r="B22" s="337"/>
      <c r="C22" s="332"/>
      <c r="D22" s="332"/>
      <c r="E22" s="332"/>
      <c r="F22" s="332"/>
      <c r="G22" s="333"/>
      <c r="H22" s="333"/>
      <c r="I22" s="333"/>
      <c r="J22" s="333"/>
      <c r="K22" s="333"/>
      <c r="L22" s="439"/>
      <c r="M22" s="439"/>
      <c r="N22" s="439"/>
      <c r="O22" s="336"/>
      <c r="P22" s="336"/>
      <c r="Q22" s="159"/>
      <c r="R22" s="159"/>
      <c r="S22" s="159"/>
      <c r="T22" s="159"/>
      <c r="U22" s="159"/>
      <c r="V22" s="159"/>
      <c r="W22" s="159"/>
      <c r="X22" s="159"/>
      <c r="Y22" s="159"/>
    </row>
    <row r="23" spans="1:25" ht="15.75" customHeight="1">
      <c r="A23" s="19"/>
      <c r="B23" s="524">
        <f>IF(AUXILIAR!B13=3,IF(AUXILIAR!D6&gt;(AUXILIAR!D3+3),"INFORMACIÓN: ADJUDICACIÓN POSTERIOR A 3 MESES + LIMITE PRESENTACION OFERTAS",""),"")</f>
      </c>
      <c r="C23" s="524"/>
      <c r="D23" s="524"/>
      <c r="E23" s="524"/>
      <c r="F23" s="524"/>
      <c r="G23" s="524"/>
      <c r="H23" s="524"/>
      <c r="I23" s="524"/>
      <c r="J23" s="333"/>
      <c r="K23" s="333"/>
      <c r="L23" s="439"/>
      <c r="M23" s="439"/>
      <c r="N23" s="439"/>
      <c r="O23" s="336"/>
      <c r="P23" s="336"/>
      <c r="Q23" s="159"/>
      <c r="R23" s="159"/>
      <c r="S23" s="159"/>
      <c r="T23" s="159"/>
      <c r="U23" s="159"/>
      <c r="V23" s="159"/>
      <c r="W23" s="159"/>
      <c r="X23" s="159"/>
      <c r="Y23" s="159"/>
    </row>
    <row r="24" spans="1:25" ht="8.25" customHeight="1">
      <c r="A24" s="339"/>
      <c r="B24" s="518">
        <f>IF(AUXILIAR!D6&lt;AUXILIAR!D3,"ATENCIÓN: ESTA FECHA NO PUEDE SER ANTERIOR A LA DE LICITACIÓN",IF(AUXILIAR!D6=AUXILIAR!D3,IF(AUXILIAR!A6&lt;AUXILIAR!A3,"ATENCIÓN: ESTA FECHA NO PUEDE SER ANTERIOR A LA DE LICITACIÓN",""),""))</f>
      </c>
      <c r="C24" s="518"/>
      <c r="D24" s="518"/>
      <c r="E24" s="518"/>
      <c r="F24" s="518"/>
      <c r="G24" s="518"/>
      <c r="H24" s="518"/>
      <c r="I24" s="518"/>
      <c r="J24" s="340"/>
      <c r="K24" s="340"/>
      <c r="L24" s="440"/>
      <c r="M24" s="440"/>
      <c r="N24" s="440"/>
      <c r="O24" s="440"/>
      <c r="P24" s="440"/>
      <c r="Q24" s="159"/>
      <c r="R24" s="159"/>
      <c r="S24" s="159"/>
      <c r="T24" s="159"/>
      <c r="U24" s="159"/>
      <c r="V24" s="159"/>
      <c r="W24" s="159"/>
      <c r="X24" s="159"/>
      <c r="Y24" s="159"/>
    </row>
    <row r="25" spans="1:25" ht="6.75" customHeight="1">
      <c r="A25" s="17"/>
      <c r="B25" s="508"/>
      <c r="C25" s="508"/>
      <c r="D25" s="508"/>
      <c r="E25" s="508"/>
      <c r="F25" s="508"/>
      <c r="G25" s="19"/>
      <c r="H25" s="19"/>
      <c r="I25" s="19"/>
      <c r="J25" s="19"/>
      <c r="K25" s="19"/>
      <c r="L25" s="442"/>
      <c r="M25" s="19"/>
      <c r="N25" s="19"/>
      <c r="O25" s="19"/>
      <c r="P25" s="17"/>
      <c r="Q25" s="159"/>
      <c r="R25" s="159"/>
      <c r="S25" s="159"/>
      <c r="T25" s="159"/>
      <c r="U25" s="159"/>
      <c r="V25" s="159"/>
      <c r="W25" s="159"/>
      <c r="X25" s="159"/>
      <c r="Y25" s="159"/>
    </row>
    <row r="26" spans="1:25" ht="15.75">
      <c r="A26" s="17"/>
      <c r="B26" s="333"/>
      <c r="C26" s="333"/>
      <c r="D26" s="333"/>
      <c r="E26" s="502" t="str">
        <f>IF(P10=3,"UNA SOLA FÓRMULA","UNA fórmula de revisión")</f>
        <v>UNA SOLA FÓRMULA</v>
      </c>
      <c r="F26" s="502"/>
      <c r="G26" s="459"/>
      <c r="H26" s="502" t="s">
        <v>284</v>
      </c>
      <c r="I26" s="502"/>
      <c r="J26" s="333"/>
      <c r="K26" s="333"/>
      <c r="L26" s="519" t="s">
        <v>339</v>
      </c>
      <c r="M26" s="520"/>
      <c r="N26" s="521"/>
      <c r="O26" s="334"/>
      <c r="P26" s="17"/>
      <c r="Q26" s="159"/>
      <c r="R26" s="159"/>
      <c r="S26" s="159"/>
      <c r="T26" s="159"/>
      <c r="U26" s="159"/>
      <c r="V26" s="159"/>
      <c r="W26" s="159"/>
      <c r="X26" s="159"/>
      <c r="Y26" s="159"/>
    </row>
    <row r="27" spans="1:25" ht="15.75" customHeight="1">
      <c r="A27" s="339"/>
      <c r="B27" s="340"/>
      <c r="C27" s="340"/>
      <c r="D27" s="340"/>
      <c r="E27" s="517" t="str">
        <f>CONCATENATE("Fórmula tipo nº ",FÓRMULAS!C8)</f>
        <v>Fórmula tipo nº 1</v>
      </c>
      <c r="F27" s="517"/>
      <c r="G27" s="340"/>
      <c r="H27" s="517">
        <f>IF(AUXILIAR!D11=1,"",CONCATENATE("Fórmula tipo nº ",FÓRMULAS!C9))</f>
      </c>
      <c r="I27" s="517"/>
      <c r="J27" s="340"/>
      <c r="K27" s="340"/>
      <c r="L27" s="443"/>
      <c r="M27" s="340"/>
      <c r="N27" s="340"/>
      <c r="O27" s="340"/>
      <c r="P27" s="339"/>
      <c r="Q27" s="159"/>
      <c r="R27" s="159"/>
      <c r="S27" s="159"/>
      <c r="T27" s="159"/>
      <c r="U27" s="159"/>
      <c r="V27" s="159"/>
      <c r="W27" s="159"/>
      <c r="X27" s="159"/>
      <c r="Y27" s="159"/>
    </row>
    <row r="28" spans="1:25" ht="6.75" customHeight="1">
      <c r="A28" s="147"/>
      <c r="B28" s="515"/>
      <c r="C28" s="515"/>
      <c r="D28" s="515"/>
      <c r="E28" s="515"/>
      <c r="F28" s="515"/>
      <c r="G28" s="515"/>
      <c r="H28" s="515"/>
      <c r="I28" s="515"/>
      <c r="J28" s="333"/>
      <c r="K28" s="333"/>
      <c r="L28" s="336"/>
      <c r="M28" s="336"/>
      <c r="N28" s="336"/>
      <c r="O28" s="336"/>
      <c r="P28" s="17"/>
      <c r="Q28" s="159"/>
      <c r="R28" s="159"/>
      <c r="S28" s="159"/>
      <c r="T28" s="159"/>
      <c r="U28" s="159"/>
      <c r="V28" s="159"/>
      <c r="W28" s="159"/>
      <c r="X28" s="159"/>
      <c r="Y28" s="159"/>
    </row>
    <row r="29" spans="1:25" ht="18" customHeight="1">
      <c r="A29" s="147"/>
      <c r="B29" s="506" t="str">
        <f>CONCATENATE("PRESUPUESTO VIGENTE 'A' ",IF(AUXILIAR!E29=1,"",IF(AUXILIAR!E29=2,"CON IVA","SIN IVA"))," (SIN CERTIFICACIÓN FINAL)")</f>
        <v>PRESUPUESTO VIGENTE 'A' SIN IVA (SIN CERTIFICACIÓN FINAL)</v>
      </c>
      <c r="C29" s="506"/>
      <c r="D29" s="506"/>
      <c r="E29" s="506"/>
      <c r="F29" s="506"/>
      <c r="G29" s="506"/>
      <c r="H29" s="506"/>
      <c r="I29" s="506"/>
      <c r="J29" s="516" t="s">
        <v>315</v>
      </c>
      <c r="K29" s="516"/>
      <c r="L29" s="516"/>
      <c r="M29" s="516"/>
      <c r="N29" s="516"/>
      <c r="O29" s="516"/>
      <c r="P29" s="17"/>
      <c r="Q29" s="159"/>
      <c r="R29" s="159"/>
      <c r="S29" s="159"/>
      <c r="T29" s="159"/>
      <c r="U29" s="159"/>
      <c r="V29" s="159"/>
      <c r="W29" s="159"/>
      <c r="X29" s="159"/>
      <c r="Y29" s="159"/>
    </row>
    <row r="30" spans="1:25" ht="18">
      <c r="A30" s="147"/>
      <c r="B30" s="509">
        <v>0</v>
      </c>
      <c r="C30" s="510"/>
      <c r="D30" s="510"/>
      <c r="E30" s="510"/>
      <c r="F30" s="510"/>
      <c r="G30" s="510"/>
      <c r="H30" s="510"/>
      <c r="I30" s="511"/>
      <c r="J30" s="451" t="s">
        <v>70</v>
      </c>
      <c r="K30" s="456"/>
      <c r="L30" s="457"/>
      <c r="M30" s="457"/>
      <c r="N30" s="336" t="s">
        <v>317</v>
      </c>
      <c r="O30" s="456"/>
      <c r="P30" s="17"/>
      <c r="Q30" s="159"/>
      <c r="R30" s="159"/>
      <c r="S30" s="159"/>
      <c r="T30" s="159"/>
      <c r="U30" s="159"/>
      <c r="V30" s="159"/>
      <c r="W30" s="159"/>
      <c r="X30" s="159"/>
      <c r="Y30" s="159"/>
    </row>
    <row r="31" spans="1:25" ht="15">
      <c r="A31" s="147"/>
      <c r="B31" s="504" t="s">
        <v>338</v>
      </c>
      <c r="C31" s="504"/>
      <c r="D31" s="504"/>
      <c r="E31" s="504"/>
      <c r="F31" s="333"/>
      <c r="G31" s="504">
        <f>IF(P10=3,IF(AUXILIAR!D11=1,"","CON LCSP UNA SOLA FÓRMULA"),IF(AUXILIAR!D11=1,"No rellenar casilla inferior","CORRESPONDIENTE A SEGUNDA FÓRM."))</f>
      </c>
      <c r="H31" s="504"/>
      <c r="I31" s="504"/>
      <c r="J31" s="516" t="s">
        <v>316</v>
      </c>
      <c r="K31" s="516"/>
      <c r="L31" s="516"/>
      <c r="M31" s="516"/>
      <c r="N31" s="516"/>
      <c r="O31" s="516"/>
      <c r="P31" s="17"/>
      <c r="Q31" s="159"/>
      <c r="R31" s="159"/>
      <c r="S31" s="159"/>
      <c r="T31" s="159"/>
      <c r="U31" s="159"/>
      <c r="V31" s="159"/>
      <c r="W31" s="159"/>
      <c r="X31" s="159"/>
      <c r="Y31" s="159"/>
    </row>
    <row r="32" spans="1:25" ht="12.75">
      <c r="A32" s="147"/>
      <c r="B32" s="505">
        <f>IF(AUXILIAR!D11=1,INICIO!B30,IF(B30-G32&gt;=0,ROUND(B30-G32,2),"No puede ser negativo"))</f>
        <v>0</v>
      </c>
      <c r="C32" s="505"/>
      <c r="D32" s="505"/>
      <c r="E32" s="505"/>
      <c r="F32" s="333"/>
      <c r="G32" s="549">
        <v>0</v>
      </c>
      <c r="H32" s="550"/>
      <c r="I32" s="551"/>
      <c r="J32" s="451" t="s">
        <v>70</v>
      </c>
      <c r="K32" s="452"/>
      <c r="L32" s="452"/>
      <c r="M32" s="452"/>
      <c r="N32" s="336" t="s">
        <v>317</v>
      </c>
      <c r="O32" s="452"/>
      <c r="P32" s="17"/>
      <c r="Q32" s="159"/>
      <c r="R32" s="159"/>
      <c r="S32" s="159"/>
      <c r="T32" s="159"/>
      <c r="U32" s="159"/>
      <c r="V32" s="159"/>
      <c r="W32" s="159"/>
      <c r="X32" s="159"/>
      <c r="Y32" s="159"/>
    </row>
    <row r="33" spans="1:25" ht="12" customHeight="1">
      <c r="A33" s="147"/>
      <c r="B33" s="500">
        <f>IF(AUXILIAR!C45=1,"Ojo!No rellenar el PV1","")</f>
      </c>
      <c r="C33" s="500"/>
      <c r="D33" s="500"/>
      <c r="E33" s="500"/>
      <c r="F33" s="453"/>
      <c r="G33" s="507">
        <f>IF(AUXILIAR!C45=1,"Rellenar únicamente la casilla blanca de PV2","")</f>
      </c>
      <c r="H33" s="507"/>
      <c r="I33" s="507"/>
      <c r="J33" s="452"/>
      <c r="K33" s="452"/>
      <c r="L33" s="452"/>
      <c r="M33" s="452"/>
      <c r="N33" s="452"/>
      <c r="O33" s="452"/>
      <c r="P33" s="17"/>
      <c r="Q33" s="159"/>
      <c r="R33" s="159"/>
      <c r="S33" s="159"/>
      <c r="T33" s="159"/>
      <c r="U33" s="159"/>
      <c r="V33" s="159"/>
      <c r="W33" s="159"/>
      <c r="X33" s="159"/>
      <c r="Y33" s="159"/>
    </row>
    <row r="34" spans="1:25" ht="17.25" customHeight="1">
      <c r="A34" s="147"/>
      <c r="B34" s="503" t="s">
        <v>287</v>
      </c>
      <c r="C34" s="503"/>
      <c r="D34" s="503"/>
      <c r="E34" s="503"/>
      <c r="F34" s="460"/>
      <c r="G34" s="503" t="s">
        <v>288</v>
      </c>
      <c r="H34" s="503"/>
      <c r="I34" s="503"/>
      <c r="J34" s="332"/>
      <c r="K34" s="332"/>
      <c r="L34" s="519" t="s">
        <v>125</v>
      </c>
      <c r="M34" s="520"/>
      <c r="N34" s="521"/>
      <c r="O34" s="332"/>
      <c r="P34" s="17"/>
      <c r="Q34" s="159"/>
      <c r="R34" s="159"/>
      <c r="S34" s="159"/>
      <c r="T34" s="159"/>
      <c r="U34" s="159"/>
      <c r="V34" s="159"/>
      <c r="W34" s="159"/>
      <c r="X34" s="159"/>
      <c r="Y34" s="159"/>
    </row>
    <row r="35" spans="1:25" ht="14.25" customHeight="1">
      <c r="A35" s="267"/>
      <c r="B35" s="569">
        <f>CERTIFICACIONES!H57</f>
        <v>0</v>
      </c>
      <c r="C35" s="569"/>
      <c r="D35" s="569"/>
      <c r="E35" s="569"/>
      <c r="F35" s="454"/>
      <c r="G35" s="568">
        <f>IF(B30=0,"",TEXT(CERTIFICACIONES!C58+CERTIFICACIONES!F58,"0.0,00 € "))</f>
      </c>
      <c r="H35" s="568"/>
      <c r="I35" s="568"/>
      <c r="J35" s="455"/>
      <c r="K35" s="455"/>
      <c r="L35" s="455"/>
      <c r="M35" s="455"/>
      <c r="N35" s="455"/>
      <c r="O35" s="455"/>
      <c r="P35" s="339"/>
      <c r="Q35" s="159"/>
      <c r="R35" s="159"/>
      <c r="S35" s="159"/>
      <c r="T35" s="159"/>
      <c r="U35" s="159"/>
      <c r="V35" s="159"/>
      <c r="W35" s="159"/>
      <c r="X35" s="159"/>
      <c r="Y35" s="159"/>
    </row>
    <row r="36" spans="1:25" ht="17.25" customHeight="1">
      <c r="A36" s="19"/>
      <c r="B36" s="186"/>
      <c r="C36" s="186"/>
      <c r="D36" s="186"/>
      <c r="E36" s="186"/>
      <c r="F36" s="186"/>
      <c r="G36" s="442"/>
      <c r="H36" s="444"/>
      <c r="I36" s="444"/>
      <c r="J36" s="444"/>
      <c r="K36" s="444"/>
      <c r="L36" s="444"/>
      <c r="M36" s="19"/>
      <c r="N36" s="444"/>
      <c r="O36" s="444"/>
      <c r="P36" s="17"/>
      <c r="Q36" s="159"/>
      <c r="R36" s="159"/>
      <c r="S36" s="159"/>
      <c r="T36" s="159"/>
      <c r="U36" s="159"/>
      <c r="V36" s="159"/>
      <c r="W36" s="159"/>
      <c r="X36" s="159"/>
      <c r="Y36" s="159"/>
    </row>
    <row r="37" spans="1:25" ht="19.5" customHeight="1">
      <c r="A37" s="19"/>
      <c r="B37" s="564" t="str">
        <f>CONCATENATE("RESULTADOS ",IF(AUXILIAR!E29=1,"",IF(AUXILIAR!E29=2,"CON IVA","SIN IVA")))</f>
        <v>RESULTADOS SIN IVA</v>
      </c>
      <c r="C37" s="564"/>
      <c r="D37" s="564"/>
      <c r="E37" s="564"/>
      <c r="F37" s="564"/>
      <c r="G37" s="442"/>
      <c r="H37" s="445"/>
      <c r="I37" s="445"/>
      <c r="J37" s="444"/>
      <c r="K37" s="444"/>
      <c r="L37" s="444"/>
      <c r="M37" s="444"/>
      <c r="N37" s="444"/>
      <c r="O37" s="444"/>
      <c r="P37" s="17"/>
      <c r="Q37" s="159"/>
      <c r="R37" s="159"/>
      <c r="S37" s="159"/>
      <c r="T37" s="159"/>
      <c r="U37" s="159"/>
      <c r="V37" s="159"/>
      <c r="W37" s="159"/>
      <c r="X37" s="159"/>
      <c r="Y37" s="159"/>
    </row>
    <row r="38" spans="1:25" ht="17.25" customHeight="1">
      <c r="A38" s="19"/>
      <c r="B38" s="554" t="s">
        <v>170</v>
      </c>
      <c r="C38" s="554"/>
      <c r="D38" s="555">
        <f>'CÁLCULO REVISIÓN'!F185+'CÁLCULO REVISIÓN'!F241</f>
        <v>0</v>
      </c>
      <c r="E38" s="555"/>
      <c r="F38" s="555"/>
      <c r="G38" s="133"/>
      <c r="H38" s="445"/>
      <c r="I38" s="445"/>
      <c r="J38" s="444"/>
      <c r="K38" s="444"/>
      <c r="L38" s="444"/>
      <c r="M38" s="17"/>
      <c r="N38" s="444"/>
      <c r="O38" s="444"/>
      <c r="P38" s="17"/>
      <c r="Q38" s="159"/>
      <c r="R38" s="159"/>
      <c r="S38" s="159"/>
      <c r="T38" s="159"/>
      <c r="U38" s="159"/>
      <c r="V38" s="159"/>
      <c r="W38" s="159"/>
      <c r="X38" s="159"/>
      <c r="Y38" s="159"/>
    </row>
    <row r="39" spans="1:25" ht="17.25" customHeight="1">
      <c r="A39" s="19"/>
      <c r="B39" s="554"/>
      <c r="C39" s="554"/>
      <c r="D39" s="555"/>
      <c r="E39" s="555"/>
      <c r="F39" s="555"/>
      <c r="G39" s="133"/>
      <c r="H39" s="445"/>
      <c r="I39" s="445"/>
      <c r="J39" s="133"/>
      <c r="K39" s="444"/>
      <c r="L39" s="444"/>
      <c r="M39" s="17"/>
      <c r="N39" s="444"/>
      <c r="O39" s="446"/>
      <c r="P39" s="17"/>
      <c r="Q39" s="159"/>
      <c r="R39" s="159"/>
      <c r="S39" s="159"/>
      <c r="T39" s="159"/>
      <c r="U39" s="159"/>
      <c r="V39" s="159"/>
      <c r="W39" s="159"/>
      <c r="X39" s="159"/>
      <c r="Y39" s="159"/>
    </row>
    <row r="40" spans="1:25" ht="17.25" customHeight="1">
      <c r="A40" s="19"/>
      <c r="B40" s="554" t="s">
        <v>174</v>
      </c>
      <c r="C40" s="554"/>
      <c r="D40" s="555">
        <f>IF(CERTIFICACIONES!H55&gt;INICIO!B30,"ERROR: EXCESO CERT. ORDINARIAS",'CÁLCULO REVISIÓN'!F255+'CÁLCULO REVISIÓN'!K255)</f>
        <v>0</v>
      </c>
      <c r="E40" s="555"/>
      <c r="F40" s="555"/>
      <c r="G40" s="133"/>
      <c r="H40" s="445"/>
      <c r="I40" s="445"/>
      <c r="J40" s="133"/>
      <c r="K40" s="444"/>
      <c r="L40" s="446"/>
      <c r="M40" s="446"/>
      <c r="N40" s="446"/>
      <c r="O40" s="446"/>
      <c r="P40" s="17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1:25" ht="17.25" customHeight="1">
      <c r="A41" s="17"/>
      <c r="B41" s="554"/>
      <c r="C41" s="554"/>
      <c r="D41" s="555"/>
      <c r="E41" s="555"/>
      <c r="F41" s="555"/>
      <c r="G41" s="442"/>
      <c r="H41" s="558" t="s">
        <v>203</v>
      </c>
      <c r="I41" s="559"/>
      <c r="J41" s="560"/>
      <c r="K41" s="444"/>
      <c r="L41" s="563" t="s">
        <v>204</v>
      </c>
      <c r="M41" s="563"/>
      <c r="N41" s="563"/>
      <c r="O41" s="447"/>
      <c r="P41" s="17"/>
      <c r="Q41" s="159"/>
      <c r="R41" s="159"/>
      <c r="S41" s="159"/>
      <c r="T41" s="159"/>
      <c r="U41" s="159"/>
      <c r="V41" s="159"/>
      <c r="W41" s="159"/>
      <c r="X41" s="159"/>
      <c r="Y41" s="159"/>
    </row>
    <row r="42" spans="1:25" ht="42" customHeight="1">
      <c r="A42" s="17"/>
      <c r="B42" s="562" t="str">
        <f>CONCATENATE("TOTAL ",IF(AUXILIAR!E29=1,"",IF(AUXILIAR!E29=2,"CON IVA","SIN IVA")))</f>
        <v>TOTAL SIN IVA</v>
      </c>
      <c r="C42" s="562"/>
      <c r="D42" s="553">
        <f>IF(AUXILIAR!B13=7,"PROGRAMA NO VÁLIDO",IF(CERTIFICACIONES!H55&gt;INICIO!B30,"EXCESO C.O.",D40+D38))</f>
        <v>0</v>
      </c>
      <c r="E42" s="553"/>
      <c r="F42" s="553"/>
      <c r="G42" s="17"/>
      <c r="H42" s="17"/>
      <c r="I42" s="17"/>
      <c r="J42" s="19"/>
      <c r="K42" s="19"/>
      <c r="L42" s="448"/>
      <c r="M42" s="448"/>
      <c r="N42" s="448"/>
      <c r="O42" s="446"/>
      <c r="P42" s="17"/>
      <c r="Q42" s="159"/>
      <c r="R42" s="159"/>
      <c r="S42" s="159"/>
      <c r="T42" s="159"/>
      <c r="U42" s="159"/>
      <c r="V42" s="159"/>
      <c r="W42" s="159"/>
      <c r="X42" s="159"/>
      <c r="Y42" s="159"/>
    </row>
    <row r="43" spans="1:25" ht="10.5" customHeight="1" thickBot="1">
      <c r="A43" s="341"/>
      <c r="B43" s="552">
        <f>IF(AUXILIAR!E29=2,"ATENCIÓN A LOS TIPOS DE IVA","")</f>
      </c>
      <c r="C43" s="552"/>
      <c r="D43" s="552"/>
      <c r="E43" s="552"/>
      <c r="F43" s="449"/>
      <c r="G43" s="341"/>
      <c r="H43" s="556" t="s">
        <v>232</v>
      </c>
      <c r="I43" s="557"/>
      <c r="J43" s="565" t="s">
        <v>282</v>
      </c>
      <c r="K43" s="566"/>
      <c r="L43" s="566"/>
      <c r="M43" s="566"/>
      <c r="N43" s="567"/>
      <c r="O43" s="341"/>
      <c r="P43" s="450"/>
      <c r="Q43" s="159"/>
      <c r="R43" s="159"/>
      <c r="S43" s="159"/>
      <c r="T43" s="159"/>
      <c r="U43" s="159"/>
      <c r="V43" s="159"/>
      <c r="W43" s="159"/>
      <c r="X43" s="159"/>
      <c r="Y43" s="159"/>
    </row>
    <row r="44" spans="1:25" ht="9" customHeight="1">
      <c r="A44" s="158"/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10"/>
      <c r="M44" s="409"/>
      <c r="N44" s="411"/>
      <c r="O44" s="409"/>
      <c r="P44" s="412"/>
      <c r="Q44" s="159"/>
      <c r="R44" s="159"/>
      <c r="S44" s="159"/>
      <c r="T44" s="159"/>
      <c r="U44" s="159"/>
      <c r="V44" s="159"/>
      <c r="W44" s="159"/>
      <c r="X44" s="159"/>
      <c r="Y44" s="159"/>
    </row>
    <row r="45" spans="1:25" ht="13.5" customHeight="1">
      <c r="A45" s="158"/>
      <c r="B45" s="468" t="s">
        <v>349</v>
      </c>
      <c r="C45" s="468"/>
      <c r="D45" s="468"/>
      <c r="E45" s="468"/>
      <c r="F45" s="468"/>
      <c r="G45" s="468"/>
      <c r="H45" s="468"/>
      <c r="I45" s="468"/>
      <c r="J45" s="469"/>
      <c r="K45" s="413"/>
      <c r="L45" s="410"/>
      <c r="M45" s="410"/>
      <c r="N45" s="410"/>
      <c r="O45" s="409"/>
      <c r="P45" s="412"/>
      <c r="Q45" s="159"/>
      <c r="R45" s="159"/>
      <c r="S45" s="159"/>
      <c r="T45" s="159"/>
      <c r="U45" s="159"/>
      <c r="V45" s="159"/>
      <c r="W45" s="159"/>
      <c r="X45" s="159"/>
      <c r="Y45" s="159"/>
    </row>
    <row r="46" spans="1:25" ht="19.5" customHeight="1">
      <c r="A46" s="158"/>
      <c r="B46" s="529" t="s">
        <v>353</v>
      </c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412"/>
      <c r="Q46" s="159"/>
      <c r="R46" s="159"/>
      <c r="S46" s="159"/>
      <c r="T46" s="159"/>
      <c r="U46" s="159"/>
      <c r="V46" s="159"/>
      <c r="W46" s="159"/>
      <c r="X46" s="159"/>
      <c r="Y46" s="159"/>
    </row>
    <row r="47" spans="1:25" ht="16.5" customHeight="1" hidden="1">
      <c r="A47" s="158"/>
      <c r="B47" s="409"/>
      <c r="C47" s="409"/>
      <c r="D47" s="409"/>
      <c r="E47" s="409"/>
      <c r="F47" s="409"/>
      <c r="G47" s="570"/>
      <c r="H47" s="570"/>
      <c r="I47" s="414"/>
      <c r="J47" s="414"/>
      <c r="K47" s="414"/>
      <c r="L47" s="410"/>
      <c r="M47" s="409"/>
      <c r="N47" s="409"/>
      <c r="O47" s="409"/>
      <c r="P47" s="412"/>
      <c r="Q47" s="159"/>
      <c r="R47" s="159"/>
      <c r="S47" s="159"/>
      <c r="T47" s="159"/>
      <c r="U47" s="159"/>
      <c r="V47" s="159"/>
      <c r="W47" s="159"/>
      <c r="X47" s="159"/>
      <c r="Y47" s="159"/>
    </row>
    <row r="48" spans="1:25" ht="3.75" customHeight="1">
      <c r="A48" s="561"/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406"/>
      <c r="R48" s="159"/>
      <c r="S48" s="159"/>
      <c r="T48" s="159"/>
      <c r="U48" s="159"/>
      <c r="V48" s="159"/>
      <c r="W48" s="159"/>
      <c r="X48" s="159"/>
      <c r="Y48" s="159"/>
    </row>
    <row r="49" spans="1:25" ht="18.75" customHeight="1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405"/>
      <c r="P49" s="159"/>
      <c r="Q49" s="159"/>
      <c r="R49" s="159"/>
      <c r="S49" s="159"/>
      <c r="T49" s="159"/>
      <c r="U49" s="159"/>
      <c r="V49" s="159"/>
      <c r="W49" s="159"/>
      <c r="X49" s="159"/>
      <c r="Y49" s="159"/>
    </row>
    <row r="50" spans="1:25" ht="12.75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</row>
    <row r="51" spans="1:25" ht="12.7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 t="s">
        <v>318</v>
      </c>
    </row>
    <row r="52" spans="1:22" ht="12.75">
      <c r="A52" s="15"/>
      <c r="B52" s="15"/>
      <c r="C52" s="15">
        <v>0</v>
      </c>
      <c r="D52" s="15"/>
      <c r="E52" s="15"/>
      <c r="F52" s="15"/>
      <c r="G52" s="15"/>
      <c r="H52" s="15"/>
      <c r="I52" s="15"/>
      <c r="J52" s="15"/>
      <c r="K52" s="15"/>
      <c r="L52" s="20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2.75">
      <c r="A53" s="15"/>
      <c r="B53" s="15"/>
      <c r="C53" s="15">
        <v>0</v>
      </c>
      <c r="D53" s="15"/>
      <c r="E53" s="15"/>
      <c r="F53" s="15"/>
      <c r="G53" s="15"/>
      <c r="H53" s="15"/>
      <c r="I53" s="15"/>
      <c r="J53" s="15"/>
      <c r="K53" s="15"/>
      <c r="L53" s="20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2.75">
      <c r="A54" s="15"/>
      <c r="B54" s="15"/>
      <c r="C54" s="15">
        <v>0</v>
      </c>
      <c r="D54" s="15"/>
      <c r="E54" s="15"/>
      <c r="F54" s="15"/>
      <c r="G54" s="15"/>
      <c r="H54" s="15"/>
      <c r="I54" s="15"/>
      <c r="J54" s="15"/>
      <c r="K54" s="15"/>
      <c r="L54" s="20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2.75">
      <c r="A55" s="15"/>
      <c r="B55" s="15"/>
      <c r="C55" s="15">
        <v>0</v>
      </c>
      <c r="D55" s="15"/>
      <c r="E55" s="15"/>
      <c r="F55" s="15"/>
      <c r="G55" s="15"/>
      <c r="H55" s="15"/>
      <c r="I55" s="15"/>
      <c r="J55" s="15"/>
      <c r="K55" s="15"/>
      <c r="L55" s="20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2.75">
      <c r="A56" s="15"/>
      <c r="B56" s="15"/>
      <c r="C56" s="15">
        <v>0</v>
      </c>
      <c r="D56" s="15"/>
      <c r="E56" s="15"/>
      <c r="F56" s="15"/>
      <c r="G56" s="15"/>
      <c r="H56" s="15"/>
      <c r="I56" s="15"/>
      <c r="J56" s="15"/>
      <c r="K56" s="15"/>
      <c r="L56" s="20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2.75">
      <c r="A57" s="15"/>
      <c r="B57" s="15"/>
      <c r="C57" s="15">
        <v>0</v>
      </c>
      <c r="D57" s="15"/>
      <c r="E57" s="15"/>
      <c r="F57" s="15"/>
      <c r="G57" s="15"/>
      <c r="H57" s="15"/>
      <c r="I57" s="15"/>
      <c r="J57" s="15"/>
      <c r="K57" s="15"/>
      <c r="L57" s="20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2.75">
      <c r="A58" s="15"/>
      <c r="B58" s="15"/>
      <c r="C58" s="15">
        <v>0</v>
      </c>
      <c r="D58" s="15"/>
      <c r="E58" s="15"/>
      <c r="F58" s="15"/>
      <c r="G58" s="15"/>
      <c r="H58" s="15"/>
      <c r="I58" s="15"/>
      <c r="J58" s="15"/>
      <c r="K58" s="15"/>
      <c r="L58" s="20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2.75">
      <c r="A59" s="15"/>
      <c r="B59" s="15"/>
      <c r="C59" s="15">
        <v>0</v>
      </c>
      <c r="D59" s="15"/>
      <c r="E59" s="15"/>
      <c r="F59" s="15"/>
      <c r="G59" s="15"/>
      <c r="H59" s="15"/>
      <c r="I59" s="15"/>
      <c r="J59" s="15"/>
      <c r="K59" s="15"/>
      <c r="L59" s="20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2.75">
      <c r="A60" s="15"/>
      <c r="B60" s="15"/>
      <c r="C60" s="15">
        <v>0</v>
      </c>
      <c r="D60" s="15"/>
      <c r="E60" s="15"/>
      <c r="F60" s="15"/>
      <c r="G60" s="15"/>
      <c r="H60" s="15"/>
      <c r="I60" s="15"/>
      <c r="J60" s="15"/>
      <c r="K60" s="15"/>
      <c r="L60" s="20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2.75">
      <c r="A61" s="15"/>
      <c r="B61" s="15"/>
      <c r="C61" s="15">
        <v>0</v>
      </c>
      <c r="D61" s="15"/>
      <c r="E61" s="15"/>
      <c r="F61" s="15"/>
      <c r="G61" s="15"/>
      <c r="H61" s="15"/>
      <c r="I61" s="15"/>
      <c r="J61" s="15"/>
      <c r="K61" s="15"/>
      <c r="L61" s="20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12.75">
      <c r="A62" s="15"/>
      <c r="B62" s="15"/>
      <c r="C62" s="15">
        <v>0</v>
      </c>
      <c r="D62" s="15"/>
      <c r="E62" s="15"/>
      <c r="F62" s="15"/>
      <c r="G62" s="15"/>
      <c r="H62" s="15"/>
      <c r="I62" s="15"/>
      <c r="J62" s="15"/>
      <c r="K62" s="15"/>
      <c r="L62" s="20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2.75">
      <c r="A63" s="15"/>
      <c r="B63" s="15"/>
      <c r="C63" s="15">
        <v>0</v>
      </c>
      <c r="D63" s="15"/>
      <c r="E63" s="15"/>
      <c r="F63" s="15"/>
      <c r="G63" s="15"/>
      <c r="H63" s="15"/>
      <c r="I63" s="15"/>
      <c r="J63" s="15"/>
      <c r="K63" s="15"/>
      <c r="L63" s="20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20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20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20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20"/>
      <c r="M67" s="15"/>
      <c r="N67" s="15"/>
      <c r="O67" s="15"/>
      <c r="P67" s="15"/>
      <c r="Q67" s="15"/>
      <c r="R67" s="15"/>
      <c r="S67" s="15"/>
      <c r="T67" s="15"/>
      <c r="U67" s="15"/>
      <c r="V67" s="15"/>
    </row>
  </sheetData>
  <sheetProtection password="E4D0" sheet="1"/>
  <mergeCells count="60">
    <mergeCell ref="A48:P48"/>
    <mergeCell ref="B42:C42"/>
    <mergeCell ref="B34:E34"/>
    <mergeCell ref="L41:N41"/>
    <mergeCell ref="B37:F37"/>
    <mergeCell ref="D40:F41"/>
    <mergeCell ref="J43:N43"/>
    <mergeCell ref="G35:I35"/>
    <mergeCell ref="B35:E35"/>
    <mergeCell ref="G47:H47"/>
    <mergeCell ref="B43:E43"/>
    <mergeCell ref="D42:F42"/>
    <mergeCell ref="B38:C39"/>
    <mergeCell ref="D38:F39"/>
    <mergeCell ref="B40:C41"/>
    <mergeCell ref="J31:O31"/>
    <mergeCell ref="H43:I43"/>
    <mergeCell ref="G31:I31"/>
    <mergeCell ref="L34:N34"/>
    <mergeCell ref="H41:J41"/>
    <mergeCell ref="B46:O46"/>
    <mergeCell ref="D3:G3"/>
    <mergeCell ref="J8:L8"/>
    <mergeCell ref="D4:G6"/>
    <mergeCell ref="K2:O6"/>
    <mergeCell ref="D1:G2"/>
    <mergeCell ref="N8:O8"/>
    <mergeCell ref="J2:J6"/>
    <mergeCell ref="J9:L9"/>
    <mergeCell ref="G32:I32"/>
    <mergeCell ref="B14:I14"/>
    <mergeCell ref="J10:O10"/>
    <mergeCell ref="K11:L11"/>
    <mergeCell ref="B23:I23"/>
    <mergeCell ref="M11:N11"/>
    <mergeCell ref="M12:N12"/>
    <mergeCell ref="B19:I19"/>
    <mergeCell ref="K15:N15"/>
    <mergeCell ref="L20:N21"/>
    <mergeCell ref="B20:H20"/>
    <mergeCell ref="N9:O9"/>
    <mergeCell ref="K12:L12"/>
    <mergeCell ref="B28:I28"/>
    <mergeCell ref="J29:O29"/>
    <mergeCell ref="E27:F27"/>
    <mergeCell ref="B24:I24"/>
    <mergeCell ref="L26:N26"/>
    <mergeCell ref="H26:I26"/>
    <mergeCell ref="H27:I27"/>
    <mergeCell ref="B10:H10"/>
    <mergeCell ref="B33:E33"/>
    <mergeCell ref="B15:H15"/>
    <mergeCell ref="E26:F26"/>
    <mergeCell ref="G34:I34"/>
    <mergeCell ref="B31:E31"/>
    <mergeCell ref="B32:E32"/>
    <mergeCell ref="B29:I29"/>
    <mergeCell ref="G33:I33"/>
    <mergeCell ref="B25:F25"/>
    <mergeCell ref="B30:I30"/>
  </mergeCells>
  <conditionalFormatting sqref="G26:G27 H27:I27">
    <cfRule type="expression" priority="2" dxfId="44" stopIfTrue="1">
      <formula>$P$10=3</formula>
    </cfRule>
  </conditionalFormatting>
  <conditionalFormatting sqref="G31:I31">
    <cfRule type="expression" priority="4" dxfId="45" stopIfTrue="1">
      <formula>$P$10=3</formula>
    </cfRule>
  </conditionalFormatting>
  <conditionalFormatting sqref="G32:I32">
    <cfRule type="expression" priority="1" dxfId="41" stopIfTrue="1">
      <formula>$P$9=1</formula>
    </cfRule>
  </conditionalFormatting>
  <hyperlinks>
    <hyperlink ref="L26:N26" location="FÓRMULAS!C8" tooltip="PULSAR PARA INTRODUCIR NÚMERO/S DE FÓRMULA/S TIPO" display="INTRODUCIR FÓRMULAS"/>
    <hyperlink ref="L34:N34" location="CERTIFICACIONES!C5" tooltip="PULSAR PARA INTRODUCIR CERTIFICACIONES " display="INTRODUCIR CERTIFICACIONES"/>
    <hyperlink ref="H41:J41" location="'CÁLCULO REVISIÓN'!A1" tooltip="PULSAR PARA VISUALIZAR EL CÁLCULO PASO A PASO" display="COMPROBAR REVISIÓN"/>
  </hyperlinks>
  <printOptions horizontalCentered="1"/>
  <pageMargins left="0.7480314960629921" right="0.7480314960629921" top="0.5905511811023623" bottom="0.984251968503937" header="0" footer="0"/>
  <pageSetup blackAndWhite="1" fitToHeight="1" fitToWidth="1" horizontalDpi="600" verticalDpi="600" orientation="landscape" paperSize="9" scale="79" r:id="rId4"/>
  <headerFooter alignWithMargins="0">
    <oddHeader>&amp;L&amp;F</oddHeader>
    <oddFooter>&amp;R&amp;8&amp;P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AA89"/>
  <sheetViews>
    <sheetView zoomScale="115" zoomScaleNormal="115" zoomScalePageLayoutView="0" workbookViewId="0" topLeftCell="A1">
      <selection activeCell="B28" sqref="B28"/>
    </sheetView>
  </sheetViews>
  <sheetFormatPr defaultColWidth="11.421875" defaultRowHeight="12.75"/>
  <cols>
    <col min="1" max="1" width="14.7109375" style="6" customWidth="1"/>
    <col min="2" max="2" width="16.28125" style="5" customWidth="1"/>
    <col min="3" max="3" width="19.28125" style="5" customWidth="1"/>
    <col min="4" max="4" width="14.7109375" style="0" customWidth="1"/>
    <col min="5" max="5" width="16.8515625" style="0" customWidth="1"/>
    <col min="6" max="6" width="19.140625" style="0" customWidth="1"/>
    <col min="7" max="7" width="20.28125" style="7" customWidth="1"/>
    <col min="8" max="8" width="19.7109375" style="7" customWidth="1"/>
    <col min="10" max="10" width="11.57421875" style="0" bestFit="1" customWidth="1"/>
  </cols>
  <sheetData>
    <row r="1" spans="1:21" ht="37.5" customHeight="1">
      <c r="A1" s="583" t="str">
        <f>CONCATENATE("INTRODUCIR CERTIFICACIONES ",IF(AUXILIAR!E29=1,"",IF(AUXILIAR!E29=2,"CON IVA","SIN IVA")))</f>
        <v>INTRODUCIR CERTIFICACIONES SIN IVA</v>
      </c>
      <c r="B1" s="583"/>
      <c r="C1" s="160"/>
      <c r="D1" s="584" t="s">
        <v>319</v>
      </c>
      <c r="E1" s="585"/>
      <c r="F1" s="161"/>
      <c r="G1" s="584" t="s">
        <v>171</v>
      </c>
      <c r="H1" s="585"/>
      <c r="I1" s="41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6" customHeight="1" thickBot="1">
      <c r="A2" s="162"/>
      <c r="B2" s="162"/>
      <c r="C2" s="163"/>
      <c r="D2" s="164"/>
      <c r="E2" s="164"/>
      <c r="F2" s="165"/>
      <c r="G2" s="166"/>
      <c r="H2" s="166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7.25">
      <c r="A3" s="588" t="str">
        <f>CONCATENATE("CERTIF. ORDINARIAS FÓRMULA Nº ",FÓRMULAS!C8)</f>
        <v>CERTIF. ORDINARIAS FÓRMULA Nº 1</v>
      </c>
      <c r="B3" s="588"/>
      <c r="C3" s="588"/>
      <c r="D3" s="589" t="str">
        <f>IF(AUXILIAR!D11=1,"No rellenar esta columna",CONCATENATE("CERTIF. ORDINARIAS FÓRMULA Nº ",FÓRMULAS!C9))</f>
        <v>No rellenar esta columna</v>
      </c>
      <c r="E3" s="589"/>
      <c r="F3" s="589"/>
      <c r="G3" s="590" t="s">
        <v>130</v>
      </c>
      <c r="H3" s="590" t="s">
        <v>131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7" ht="26.25">
      <c r="A4" s="420" t="s">
        <v>10</v>
      </c>
      <c r="B4" s="421" t="s">
        <v>320</v>
      </c>
      <c r="C4" s="421" t="s">
        <v>321</v>
      </c>
      <c r="D4" s="422" t="s">
        <v>10</v>
      </c>
      <c r="E4" s="421" t="s">
        <v>320</v>
      </c>
      <c r="F4" s="421" t="s">
        <v>321</v>
      </c>
      <c r="G4" s="591"/>
      <c r="H4" s="591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AA4">
        <f>1</f>
        <v>1</v>
      </c>
    </row>
    <row r="5" spans="1:27" ht="12.75">
      <c r="A5" s="400">
        <f>(INDEX(AUXILIAR!$I$2:$I$313,AUXILIAR!$A$9))</f>
        <v>39814</v>
      </c>
      <c r="B5" s="401" t="str">
        <f>IF(A5&lt;AUXILIAR!$D$39,AUXILIAR!M2,IF(A5=AUXILIAR!$D$39,"1 y última",""))</f>
        <v>1 y última</v>
      </c>
      <c r="C5" s="169">
        <v>0</v>
      </c>
      <c r="D5" s="400" t="str">
        <f>IF(AUXILIAR!$D$11=1,"-",A5)</f>
        <v>-</v>
      </c>
      <c r="E5" s="401" t="str">
        <f>IF(AUXILIAR!$D$11=1,"-",B5)</f>
        <v>-</v>
      </c>
      <c r="F5" s="169">
        <v>0</v>
      </c>
      <c r="G5" s="377">
        <f>IF(AUXILIAR!$D$11=1,C5,F5+C5)</f>
        <v>0</v>
      </c>
      <c r="H5" s="377">
        <f>G5</f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AA5">
        <f>AA4+1</f>
        <v>2</v>
      </c>
    </row>
    <row r="6" spans="1:21" ht="12.75">
      <c r="A6" s="400">
        <f>INDEX(AUXILIAR!$I$2:$I$313,AUXILIAR!$A$9+AUXILIAR!M2)</f>
        <v>39845</v>
      </c>
      <c r="B6" s="401">
        <f>IF(A6&lt;AUXILIAR!$D$39,AUXILIAR!M3,IF(A6=AUXILIAR!$D$39,CONCATENATE(B5+1," y última"),""))</f>
      </c>
      <c r="C6" s="169">
        <v>0</v>
      </c>
      <c r="D6" s="400" t="str">
        <f>IF(AUXILIAR!$D$11=1,"-",A6)</f>
        <v>-</v>
      </c>
      <c r="E6" s="401" t="str">
        <f>IF(AUXILIAR!$D$11=1,"-",B6)</f>
        <v>-</v>
      </c>
      <c r="F6" s="169">
        <v>0</v>
      </c>
      <c r="G6" s="377">
        <f>IF(AUXILIAR!$D$11=1,C6,F6+C6)</f>
        <v>0</v>
      </c>
      <c r="H6" s="377">
        <f>G6+H5</f>
        <v>0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1:21" ht="12.75">
      <c r="A7" s="400">
        <f>INDEX(AUXILIAR!$I$2:$I$313,AUXILIAR!$A$9+AUXILIAR!M3)</f>
        <v>39873</v>
      </c>
      <c r="B7" s="401">
        <f>IF(A7&lt;AUXILIAR!$D$39,AUXILIAR!M4,IF(A7=AUXILIAR!$D$39,CONCATENATE(B6+1," y última"),""))</f>
      </c>
      <c r="C7" s="169">
        <v>0</v>
      </c>
      <c r="D7" s="400" t="str">
        <f>IF(AUXILIAR!$D$11=1,"-",A7)</f>
        <v>-</v>
      </c>
      <c r="E7" s="401" t="str">
        <f>IF(AUXILIAR!$D$11=1,"-",B7)</f>
        <v>-</v>
      </c>
      <c r="F7" s="169">
        <v>0</v>
      </c>
      <c r="G7" s="377">
        <f>IF(AUXILIAR!$D$11=1,C7,F7+C7)</f>
        <v>0</v>
      </c>
      <c r="H7" s="377">
        <f aca="true" t="shared" si="0" ref="H7:H54">G7+H6</f>
        <v>0</v>
      </c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</row>
    <row r="8" spans="1:21" ht="12.75">
      <c r="A8" s="400">
        <f>INDEX(AUXILIAR!$I$2:$I$313,AUXILIAR!$A$9+AUXILIAR!M4)</f>
        <v>39904</v>
      </c>
      <c r="B8" s="401">
        <f>IF(A8&lt;AUXILIAR!$D$39,AUXILIAR!M5,IF(A8=AUXILIAR!$D$39,CONCATENATE(B7+1," y última"),""))</f>
      </c>
      <c r="C8" s="169">
        <v>0</v>
      </c>
      <c r="D8" s="400" t="str">
        <f>IF(AUXILIAR!$D$11=1,"-",A8)</f>
        <v>-</v>
      </c>
      <c r="E8" s="401" t="str">
        <f>IF(AUXILIAR!$D$11=1,"-",B8)</f>
        <v>-</v>
      </c>
      <c r="F8" s="169">
        <v>0</v>
      </c>
      <c r="G8" s="377">
        <f>IF(AUXILIAR!$D$11=1,C8,F8+C8)</f>
        <v>0</v>
      </c>
      <c r="H8" s="377">
        <f t="shared" si="0"/>
        <v>0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</row>
    <row r="9" spans="1:21" ht="12.75">
      <c r="A9" s="400">
        <f>INDEX(AUXILIAR!$I$2:$I$313,AUXILIAR!$A$9+AUXILIAR!M5)</f>
        <v>39934</v>
      </c>
      <c r="B9" s="401">
        <f>IF(A9&lt;AUXILIAR!$D$39,AUXILIAR!M6,IF(A9=AUXILIAR!$D$39,CONCATENATE(B8+1," y última"),""))</f>
      </c>
      <c r="C9" s="169">
        <v>0</v>
      </c>
      <c r="D9" s="400" t="str">
        <f>IF(AUXILIAR!$D$11=1,"-",A9)</f>
        <v>-</v>
      </c>
      <c r="E9" s="401" t="str">
        <f>IF(AUXILIAR!$D$11=1,"-",B9)</f>
        <v>-</v>
      </c>
      <c r="F9" s="169">
        <v>0</v>
      </c>
      <c r="G9" s="377">
        <f>IF(AUXILIAR!$D$11=1,C9,F9+C9)</f>
        <v>0</v>
      </c>
      <c r="H9" s="377">
        <f t="shared" si="0"/>
        <v>0</v>
      </c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2.75">
      <c r="A10" s="400">
        <f>INDEX(AUXILIAR!$I$2:$I$313,AUXILIAR!$A$9+AUXILIAR!M6)</f>
        <v>39965</v>
      </c>
      <c r="B10" s="401">
        <f>IF(A10&lt;AUXILIAR!$D$39,AUXILIAR!M7,IF(A10=AUXILIAR!$D$39,CONCATENATE(B9+1," y última"),""))</f>
      </c>
      <c r="C10" s="169">
        <v>0</v>
      </c>
      <c r="D10" s="400" t="str">
        <f>IF(AUXILIAR!$D$11=1,"-",A10)</f>
        <v>-</v>
      </c>
      <c r="E10" s="401" t="str">
        <f>IF(AUXILIAR!$D$11=1,"-",B10)</f>
        <v>-</v>
      </c>
      <c r="F10" s="169">
        <v>0</v>
      </c>
      <c r="G10" s="377">
        <f>IF(AUXILIAR!$D$11=1,C10,F10+C10)</f>
        <v>0</v>
      </c>
      <c r="H10" s="377">
        <f t="shared" si="0"/>
        <v>0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</row>
    <row r="11" spans="1:21" ht="12.75">
      <c r="A11" s="400">
        <f>INDEX(AUXILIAR!$I$2:$I$313,AUXILIAR!$A$9+AUXILIAR!M7)</f>
        <v>39995</v>
      </c>
      <c r="B11" s="401">
        <f>IF(A11&lt;AUXILIAR!$D$39,AUXILIAR!M8,IF(A11=AUXILIAR!$D$39,CONCATENATE(B10+1," y última"),""))</f>
      </c>
      <c r="C11" s="169">
        <v>0</v>
      </c>
      <c r="D11" s="400" t="str">
        <f>IF(AUXILIAR!$D$11=1,"-",A11)</f>
        <v>-</v>
      </c>
      <c r="E11" s="401" t="str">
        <f>IF(AUXILIAR!$D$11=1,"-",B11)</f>
        <v>-</v>
      </c>
      <c r="F11" s="169">
        <v>0</v>
      </c>
      <c r="G11" s="377">
        <f>IF(AUXILIAR!$D$11=1,C11,F11+C11)</f>
        <v>0</v>
      </c>
      <c r="H11" s="377">
        <f t="shared" si="0"/>
        <v>0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</row>
    <row r="12" spans="1:21" ht="12.75">
      <c r="A12" s="400">
        <f>INDEX(AUXILIAR!$I$2:$I$313,AUXILIAR!$A$9+AUXILIAR!M8)</f>
        <v>40026</v>
      </c>
      <c r="B12" s="401">
        <f>IF(A12&lt;AUXILIAR!$D$39,AUXILIAR!M9,IF(A12=AUXILIAR!$D$39,CONCATENATE(B11+1," y última"),""))</f>
      </c>
      <c r="C12" s="169">
        <v>0</v>
      </c>
      <c r="D12" s="400" t="str">
        <f>IF(AUXILIAR!$D$11=1,"-",A12)</f>
        <v>-</v>
      </c>
      <c r="E12" s="401" t="str">
        <f>IF(AUXILIAR!$D$11=1,"-",B12)</f>
        <v>-</v>
      </c>
      <c r="F12" s="169">
        <v>0</v>
      </c>
      <c r="G12" s="377">
        <f>IF(AUXILIAR!$D$11=1,C12,F12+C12)</f>
        <v>0</v>
      </c>
      <c r="H12" s="377">
        <f t="shared" si="0"/>
        <v>0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</row>
    <row r="13" spans="1:21" ht="12.75">
      <c r="A13" s="400">
        <f>INDEX(AUXILIAR!$I$2:$I$313,AUXILIAR!$A$9+AUXILIAR!M9)</f>
        <v>40057</v>
      </c>
      <c r="B13" s="401">
        <f>IF(A13&lt;AUXILIAR!$D$39,AUXILIAR!M10,IF(A13=AUXILIAR!$D$39,CONCATENATE(B12+1," y última"),""))</f>
      </c>
      <c r="C13" s="169">
        <v>0</v>
      </c>
      <c r="D13" s="400" t="str">
        <f>IF(AUXILIAR!$D$11=1,"-",A13)</f>
        <v>-</v>
      </c>
      <c r="E13" s="401" t="str">
        <f>IF(AUXILIAR!$D$11=1,"-",B13)</f>
        <v>-</v>
      </c>
      <c r="F13" s="169">
        <v>0</v>
      </c>
      <c r="G13" s="377">
        <f>IF(AUXILIAR!$D$11=1,C13,F13+C13)</f>
        <v>0</v>
      </c>
      <c r="H13" s="377">
        <f t="shared" si="0"/>
        <v>0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</row>
    <row r="14" spans="1:21" ht="12.75">
      <c r="A14" s="400">
        <f>INDEX(AUXILIAR!$I$2:$I$313,AUXILIAR!$A$9+AUXILIAR!M10)</f>
        <v>40087</v>
      </c>
      <c r="B14" s="401">
        <f>IF(A14&lt;AUXILIAR!$D$39,AUXILIAR!M11,IF(A14=AUXILIAR!$D$39,CONCATENATE(B13+1," y última"),""))</f>
      </c>
      <c r="C14" s="169">
        <v>0</v>
      </c>
      <c r="D14" s="400" t="str">
        <f>IF(AUXILIAR!$D$11=1,"-",A14)</f>
        <v>-</v>
      </c>
      <c r="E14" s="401" t="str">
        <f>IF(AUXILIAR!$D$11=1,"-",B14)</f>
        <v>-</v>
      </c>
      <c r="F14" s="169">
        <v>0</v>
      </c>
      <c r="G14" s="377">
        <f>IF(AUXILIAR!$D$11=1,C14,F14+C14)</f>
        <v>0</v>
      </c>
      <c r="H14" s="377">
        <f t="shared" si="0"/>
        <v>0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</row>
    <row r="15" spans="1:21" ht="12.75">
      <c r="A15" s="400">
        <f>INDEX(AUXILIAR!$I$2:$I$313,AUXILIAR!$A$9+AUXILIAR!M11)</f>
        <v>40118</v>
      </c>
      <c r="B15" s="401">
        <f>IF(A15&lt;AUXILIAR!$D$39,AUXILIAR!M12,IF(A15=AUXILIAR!$D$39,CONCATENATE(B14+1," y última"),""))</f>
      </c>
      <c r="C15" s="169">
        <v>0</v>
      </c>
      <c r="D15" s="400" t="str">
        <f>IF(AUXILIAR!$D$11=1,"-",A15)</f>
        <v>-</v>
      </c>
      <c r="E15" s="401" t="str">
        <f>IF(AUXILIAR!$D$11=1,"-",B15)</f>
        <v>-</v>
      </c>
      <c r="F15" s="169">
        <v>0</v>
      </c>
      <c r="G15" s="377">
        <f>IF(AUXILIAR!$D$11=1,C15,F15+C15)</f>
        <v>0</v>
      </c>
      <c r="H15" s="377">
        <f t="shared" si="0"/>
        <v>0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</row>
    <row r="16" spans="1:21" ht="12.75">
      <c r="A16" s="400">
        <f>INDEX(AUXILIAR!$I$2:$I$313,AUXILIAR!$A$9+AUXILIAR!M12)</f>
        <v>40148</v>
      </c>
      <c r="B16" s="401">
        <f>IF(A16&lt;AUXILIAR!$D$39,AUXILIAR!M13,IF(A16=AUXILIAR!$D$39,CONCATENATE(B15+1," y última"),""))</f>
      </c>
      <c r="C16" s="169">
        <v>0</v>
      </c>
      <c r="D16" s="400" t="str">
        <f>IF(AUXILIAR!$D$11=1,"-",A16)</f>
        <v>-</v>
      </c>
      <c r="E16" s="401" t="str">
        <f>IF(AUXILIAR!$D$11=1,"-",B16)</f>
        <v>-</v>
      </c>
      <c r="F16" s="169">
        <v>0</v>
      </c>
      <c r="G16" s="377">
        <f>IF(AUXILIAR!$D$11=1,C16,F16+C16)</f>
        <v>0</v>
      </c>
      <c r="H16" s="377">
        <f t="shared" si="0"/>
        <v>0</v>
      </c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</row>
    <row r="17" spans="1:21" ht="12.75">
      <c r="A17" s="400">
        <f>INDEX(AUXILIAR!$I$2:$I$313,AUXILIAR!$A$9+AUXILIAR!M13)</f>
        <v>40179</v>
      </c>
      <c r="B17" s="401">
        <f>IF(A17&lt;AUXILIAR!$D$39,AUXILIAR!M14,IF(A17=AUXILIAR!$D$39,CONCATENATE(B16+1," y última"),""))</f>
      </c>
      <c r="C17" s="169">
        <v>0</v>
      </c>
      <c r="D17" s="400" t="str">
        <f>IF(AUXILIAR!$D$11=1,"-",A17)</f>
        <v>-</v>
      </c>
      <c r="E17" s="401" t="str">
        <f>IF(AUXILIAR!$D$11=1,"-",B17)</f>
        <v>-</v>
      </c>
      <c r="F17" s="169">
        <v>0</v>
      </c>
      <c r="G17" s="377">
        <f>IF(AUXILIAR!$D$11=1,C17,F17+C17)</f>
        <v>0</v>
      </c>
      <c r="H17" s="377">
        <f t="shared" si="0"/>
        <v>0</v>
      </c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</row>
    <row r="18" spans="1:21" ht="12.75">
      <c r="A18" s="400">
        <f>INDEX(AUXILIAR!$I$2:$I$313,AUXILIAR!$A$9+AUXILIAR!M14)</f>
        <v>40210</v>
      </c>
      <c r="B18" s="401">
        <f>IF(A18&lt;AUXILIAR!$D$39,AUXILIAR!M15,IF(A18=AUXILIAR!$D$39,CONCATENATE(B17+1," y última"),""))</f>
      </c>
      <c r="C18" s="169">
        <v>0</v>
      </c>
      <c r="D18" s="400" t="str">
        <f>IF(AUXILIAR!$D$11=1,"-",A18)</f>
        <v>-</v>
      </c>
      <c r="E18" s="401" t="str">
        <f>IF(AUXILIAR!$D$11=1,"-",B18)</f>
        <v>-</v>
      </c>
      <c r="F18" s="169">
        <v>0</v>
      </c>
      <c r="G18" s="377">
        <f>IF(AUXILIAR!$D$11=1,C18,F18+C18)</f>
        <v>0</v>
      </c>
      <c r="H18" s="377">
        <f t="shared" si="0"/>
        <v>0</v>
      </c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</row>
    <row r="19" spans="1:21" ht="12.75">
      <c r="A19" s="400">
        <f>INDEX(AUXILIAR!$I$2:$I$313,AUXILIAR!$A$9+AUXILIAR!M15)</f>
        <v>40238</v>
      </c>
      <c r="B19" s="401">
        <f>IF(A19&lt;AUXILIAR!$D$39,AUXILIAR!M16,IF(A19=AUXILIAR!$D$39,CONCATENATE(B18+1," y última"),""))</f>
      </c>
      <c r="C19" s="169">
        <v>0</v>
      </c>
      <c r="D19" s="400" t="str">
        <f>IF(AUXILIAR!$D$11=1,"-",A19)</f>
        <v>-</v>
      </c>
      <c r="E19" s="401" t="str">
        <f>IF(AUXILIAR!$D$11=1,"-",B19)</f>
        <v>-</v>
      </c>
      <c r="F19" s="169">
        <v>0</v>
      </c>
      <c r="G19" s="377">
        <f>IF(AUXILIAR!$D$11=1,C19,F19+C19)</f>
        <v>0</v>
      </c>
      <c r="H19" s="377">
        <f t="shared" si="0"/>
        <v>0</v>
      </c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</row>
    <row r="20" spans="1:21" ht="12.75">
      <c r="A20" s="400">
        <f>INDEX(AUXILIAR!$I$2:$I$313,AUXILIAR!$A$9+AUXILIAR!M16)</f>
        <v>40269</v>
      </c>
      <c r="B20" s="401">
        <f>IF(A20&lt;AUXILIAR!$D$39,AUXILIAR!M17,IF(A20=AUXILIAR!$D$39,CONCATENATE(B19+1," y última"),""))</f>
      </c>
      <c r="C20" s="169">
        <v>0</v>
      </c>
      <c r="D20" s="400" t="str">
        <f>IF(AUXILIAR!$D$11=1,"-",A20)</f>
        <v>-</v>
      </c>
      <c r="E20" s="401" t="str">
        <f>IF(AUXILIAR!$D$11=1,"-",B20)</f>
        <v>-</v>
      </c>
      <c r="F20" s="169">
        <v>0</v>
      </c>
      <c r="G20" s="377">
        <f>IF(AUXILIAR!$D$11=1,C20,F20+C20)</f>
        <v>0</v>
      </c>
      <c r="H20" s="377">
        <f t="shared" si="0"/>
        <v>0</v>
      </c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</row>
    <row r="21" spans="1:21" ht="12.75">
      <c r="A21" s="400">
        <f>INDEX(AUXILIAR!$I$2:$I$313,AUXILIAR!$A$9+AUXILIAR!M17)</f>
        <v>40299</v>
      </c>
      <c r="B21" s="401">
        <f>IF(A21&lt;AUXILIAR!$D$39,AUXILIAR!M18,IF(A21=AUXILIAR!$D$39,CONCATENATE(B20+1," y última"),""))</f>
      </c>
      <c r="C21" s="169">
        <v>0</v>
      </c>
      <c r="D21" s="400" t="str">
        <f>IF(AUXILIAR!$D$11=1,"-",A21)</f>
        <v>-</v>
      </c>
      <c r="E21" s="401" t="str">
        <f>IF(AUXILIAR!$D$11=1,"-",B21)</f>
        <v>-</v>
      </c>
      <c r="F21" s="169">
        <v>0</v>
      </c>
      <c r="G21" s="377">
        <f>IF(AUXILIAR!$D$11=1,C21,F21+C21)</f>
        <v>0</v>
      </c>
      <c r="H21" s="377">
        <f t="shared" si="0"/>
        <v>0</v>
      </c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</row>
    <row r="22" spans="1:21" ht="12.75">
      <c r="A22" s="400">
        <f>INDEX(AUXILIAR!$I$2:$I$313,AUXILIAR!$A$9+AUXILIAR!M18)</f>
        <v>40330</v>
      </c>
      <c r="B22" s="401">
        <f>IF(A22&lt;AUXILIAR!$D$39,AUXILIAR!M19,IF(A22=AUXILIAR!$D$39,CONCATENATE(B21+1," y última"),""))</f>
      </c>
      <c r="C22" s="169">
        <v>0</v>
      </c>
      <c r="D22" s="400" t="str">
        <f>IF(AUXILIAR!$D$11=1,"-",A22)</f>
        <v>-</v>
      </c>
      <c r="E22" s="401" t="str">
        <f>IF(AUXILIAR!$D$11=1,"-",B22)</f>
        <v>-</v>
      </c>
      <c r="F22" s="169">
        <v>0</v>
      </c>
      <c r="G22" s="377">
        <f>IF(AUXILIAR!$D$11=1,C22,F22+C22)</f>
        <v>0</v>
      </c>
      <c r="H22" s="377">
        <f t="shared" si="0"/>
        <v>0</v>
      </c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</row>
    <row r="23" spans="1:21" ht="12.75">
      <c r="A23" s="400">
        <f>INDEX(AUXILIAR!$I$2:$I$313,AUXILIAR!$A$9+AUXILIAR!M19)</f>
        <v>40360</v>
      </c>
      <c r="B23" s="401">
        <f>IF(A23&lt;AUXILIAR!$D$39,AUXILIAR!M20,IF(A23=AUXILIAR!$D$39,CONCATENATE(B22+1," y última"),""))</f>
      </c>
      <c r="C23" s="169">
        <v>0</v>
      </c>
      <c r="D23" s="400" t="str">
        <f>IF(AUXILIAR!$D$11=1,"-",A23)</f>
        <v>-</v>
      </c>
      <c r="E23" s="401" t="str">
        <f>IF(AUXILIAR!$D$11=1,"-",B23)</f>
        <v>-</v>
      </c>
      <c r="F23" s="169">
        <v>0</v>
      </c>
      <c r="G23" s="377">
        <f>IF(AUXILIAR!$D$11=1,C23,F23+C23)</f>
        <v>0</v>
      </c>
      <c r="H23" s="377">
        <f t="shared" si="0"/>
        <v>0</v>
      </c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1:21" ht="12.75">
      <c r="A24" s="400">
        <f>INDEX(AUXILIAR!$I$2:$I$313,AUXILIAR!$A$9+AUXILIAR!M20)</f>
        <v>40391</v>
      </c>
      <c r="B24" s="401">
        <f>IF(A24&lt;AUXILIAR!$D$39,AUXILIAR!M21,IF(A24=AUXILIAR!$D$39,CONCATENATE(B23+1," y última"),""))</f>
      </c>
      <c r="C24" s="169">
        <v>0</v>
      </c>
      <c r="D24" s="400" t="str">
        <f>IF(AUXILIAR!$D$11=1,"-",A24)</f>
        <v>-</v>
      </c>
      <c r="E24" s="401" t="str">
        <f>IF(AUXILIAR!$D$11=1,"-",B24)</f>
        <v>-</v>
      </c>
      <c r="F24" s="169">
        <v>0</v>
      </c>
      <c r="G24" s="377">
        <f>IF(AUXILIAR!$D$11=1,C24,F24+C24)</f>
        <v>0</v>
      </c>
      <c r="H24" s="377">
        <f t="shared" si="0"/>
        <v>0</v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1:21" ht="12.75">
      <c r="A25" s="400">
        <f>INDEX(AUXILIAR!$I$2:$I$313,AUXILIAR!$A$9+AUXILIAR!M21)</f>
        <v>40422</v>
      </c>
      <c r="B25" s="401">
        <f>IF(A25&lt;AUXILIAR!$D$39,AUXILIAR!M22,IF(A25=AUXILIAR!$D$39,CONCATENATE(B24+1," y última"),""))</f>
      </c>
      <c r="C25" s="169">
        <v>0</v>
      </c>
      <c r="D25" s="400" t="str">
        <f>IF(AUXILIAR!$D$11=1,"-",A25)</f>
        <v>-</v>
      </c>
      <c r="E25" s="401" t="str">
        <f>IF(AUXILIAR!$D$11=1,"-",B25)</f>
        <v>-</v>
      </c>
      <c r="F25" s="169">
        <v>0</v>
      </c>
      <c r="G25" s="377">
        <f>IF(AUXILIAR!$D$11=1,C25,F25+C25)</f>
        <v>0</v>
      </c>
      <c r="H25" s="377">
        <f t="shared" si="0"/>
        <v>0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1:21" ht="12.75">
      <c r="A26" s="400">
        <f>INDEX(AUXILIAR!$I$2:$I$313,AUXILIAR!$A$9+AUXILIAR!M22)</f>
        <v>40452</v>
      </c>
      <c r="B26" s="401">
        <f>IF(A26&lt;AUXILIAR!$D$39,AUXILIAR!M23,IF(A26=AUXILIAR!$D$39,CONCATENATE(B25+1," y última"),""))</f>
      </c>
      <c r="C26" s="169">
        <v>0</v>
      </c>
      <c r="D26" s="400" t="str">
        <f>IF(AUXILIAR!$D$11=1,"-",A26)</f>
        <v>-</v>
      </c>
      <c r="E26" s="401" t="str">
        <f>IF(AUXILIAR!$D$11=1,"-",B26)</f>
        <v>-</v>
      </c>
      <c r="F26" s="169">
        <v>0</v>
      </c>
      <c r="G26" s="377">
        <f>IF(AUXILIAR!$D$11=1,C26,F26+C26)</f>
        <v>0</v>
      </c>
      <c r="H26" s="377">
        <f t="shared" si="0"/>
        <v>0</v>
      </c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</row>
    <row r="27" spans="1:21" ht="12.75">
      <c r="A27" s="400">
        <f>INDEX(AUXILIAR!$I$2:$I$313,AUXILIAR!$A$9+AUXILIAR!M23)</f>
        <v>40483</v>
      </c>
      <c r="B27" s="401">
        <f>IF(A27&lt;AUXILIAR!$D$39,AUXILIAR!M24,IF(A27=AUXILIAR!$D$39,CONCATENATE(B26+1," y última"),""))</f>
      </c>
      <c r="C27" s="169">
        <v>0</v>
      </c>
      <c r="D27" s="400" t="str">
        <f>IF(AUXILIAR!$D$11=1,"-",A27)</f>
        <v>-</v>
      </c>
      <c r="E27" s="401" t="str">
        <f>IF(AUXILIAR!$D$11=1,"-",B27)</f>
        <v>-</v>
      </c>
      <c r="F27" s="169">
        <v>0</v>
      </c>
      <c r="G27" s="377">
        <f>IF(AUXILIAR!$D$11=1,C27,F27+C27)</f>
        <v>0</v>
      </c>
      <c r="H27" s="377">
        <f t="shared" si="0"/>
        <v>0</v>
      </c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</row>
    <row r="28" spans="1:21" ht="12.75">
      <c r="A28" s="400">
        <f>INDEX(AUXILIAR!$I$2:$I$313,AUXILIAR!$A$9+AUXILIAR!M24)</f>
        <v>40513</v>
      </c>
      <c r="B28" s="401">
        <f>IF(A28&lt;AUXILIAR!$D$39,AUXILIAR!M25,IF(A28=AUXILIAR!$D$39,CONCATENATE(B27+1," y última"),""))</f>
      </c>
      <c r="C28" s="169">
        <v>0</v>
      </c>
      <c r="D28" s="400" t="str">
        <f>IF(AUXILIAR!$D$11=1,"-",A28)</f>
        <v>-</v>
      </c>
      <c r="E28" s="401" t="str">
        <f>IF(AUXILIAR!$D$11=1,"-",B28)</f>
        <v>-</v>
      </c>
      <c r="F28" s="169">
        <v>0</v>
      </c>
      <c r="G28" s="377">
        <f>IF(AUXILIAR!$D$11=1,C28,F28+C28)</f>
        <v>0</v>
      </c>
      <c r="H28" s="377">
        <f t="shared" si="0"/>
        <v>0</v>
      </c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</row>
    <row r="29" spans="1:21" ht="12.75">
      <c r="A29" s="400">
        <f>INDEX(AUXILIAR!$I$2:$I$313,AUXILIAR!$A$9+AUXILIAR!M25)</f>
        <v>40544</v>
      </c>
      <c r="B29" s="401">
        <f>IF(A29&lt;AUXILIAR!$D$39,AUXILIAR!M26,IF(A29=AUXILIAR!$D$39,CONCATENATE(B28+1," y última"),""))</f>
      </c>
      <c r="C29" s="169">
        <v>0</v>
      </c>
      <c r="D29" s="400" t="str">
        <f>IF(AUXILIAR!$D$11=1,"-",A29)</f>
        <v>-</v>
      </c>
      <c r="E29" s="401" t="str">
        <f>IF(AUXILIAR!$D$11=1,"-",B29)</f>
        <v>-</v>
      </c>
      <c r="F29" s="169">
        <v>0</v>
      </c>
      <c r="G29" s="377">
        <f>IF(AUXILIAR!$D$11=1,C29,F29+C29)</f>
        <v>0</v>
      </c>
      <c r="H29" s="377">
        <f t="shared" si="0"/>
        <v>0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</row>
    <row r="30" spans="1:21" ht="12.75">
      <c r="A30" s="400">
        <f>INDEX(AUXILIAR!$I$2:$I$313,AUXILIAR!$A$9+AUXILIAR!M26)</f>
        <v>40575</v>
      </c>
      <c r="B30" s="401">
        <f>IF(A30&lt;AUXILIAR!$D$39,AUXILIAR!M27,IF(A30=AUXILIAR!$D$39,CONCATENATE(B29+1," y última"),""))</f>
      </c>
      <c r="C30" s="169">
        <v>0</v>
      </c>
      <c r="D30" s="400" t="str">
        <f>IF(AUXILIAR!$D$11=1,"-",A30)</f>
        <v>-</v>
      </c>
      <c r="E30" s="401" t="str">
        <f>IF(AUXILIAR!$D$11=1,"-",B30)</f>
        <v>-</v>
      </c>
      <c r="F30" s="169">
        <v>0</v>
      </c>
      <c r="G30" s="377">
        <f>IF(AUXILIAR!$D$11=1,C30,F30+C30)</f>
        <v>0</v>
      </c>
      <c r="H30" s="377">
        <f t="shared" si="0"/>
        <v>0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</row>
    <row r="31" spans="1:21" ht="12.75">
      <c r="A31" s="400">
        <f>INDEX(AUXILIAR!$I$2:$I$313,AUXILIAR!$A$9+AUXILIAR!M27)</f>
        <v>40603</v>
      </c>
      <c r="B31" s="401">
        <f>IF(A31&lt;AUXILIAR!$D$39,AUXILIAR!M28,IF(A31=AUXILIAR!$D$39,CONCATENATE(B30+1," y última"),""))</f>
      </c>
      <c r="C31" s="169">
        <v>0</v>
      </c>
      <c r="D31" s="400" t="str">
        <f>IF(AUXILIAR!$D$11=1,"-",A31)</f>
        <v>-</v>
      </c>
      <c r="E31" s="401" t="str">
        <f>IF(AUXILIAR!$D$11=1,"-",B31)</f>
        <v>-</v>
      </c>
      <c r="F31" s="169">
        <v>0</v>
      </c>
      <c r="G31" s="377">
        <f>IF(AUXILIAR!$D$11=1,C31,F31+C31)</f>
        <v>0</v>
      </c>
      <c r="H31" s="377">
        <f t="shared" si="0"/>
        <v>0</v>
      </c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</row>
    <row r="32" spans="1:21" ht="12.75">
      <c r="A32" s="400">
        <f>INDEX(AUXILIAR!$I$2:$I$313,AUXILIAR!$A$9+AUXILIAR!M28)</f>
        <v>40634</v>
      </c>
      <c r="B32" s="401">
        <f>IF(A32&lt;AUXILIAR!$D$39,AUXILIAR!M29,IF(A32=AUXILIAR!$D$39,CONCATENATE(B31+1," y última"),""))</f>
      </c>
      <c r="C32" s="169">
        <v>0</v>
      </c>
      <c r="D32" s="400" t="str">
        <f>IF(AUXILIAR!$D$11=1,"-",A32)</f>
        <v>-</v>
      </c>
      <c r="E32" s="401" t="str">
        <f>IF(AUXILIAR!$D$11=1,"-",B32)</f>
        <v>-</v>
      </c>
      <c r="F32" s="169">
        <v>0</v>
      </c>
      <c r="G32" s="377">
        <f>IF(AUXILIAR!$D$11=1,C32,F32+C32)</f>
        <v>0</v>
      </c>
      <c r="H32" s="377">
        <f t="shared" si="0"/>
        <v>0</v>
      </c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</row>
    <row r="33" spans="1:21" ht="12.75">
      <c r="A33" s="400">
        <f>INDEX(AUXILIAR!$I$2:$I$313,AUXILIAR!$A$9+AUXILIAR!M29)</f>
        <v>40664</v>
      </c>
      <c r="B33" s="401">
        <f>IF(A33&lt;AUXILIAR!$D$39,AUXILIAR!M30,IF(A33=AUXILIAR!$D$39,CONCATENATE(B32+1," y última"),""))</f>
      </c>
      <c r="C33" s="169">
        <v>0</v>
      </c>
      <c r="D33" s="400" t="str">
        <f>IF(AUXILIAR!$D$11=1,"-",A33)</f>
        <v>-</v>
      </c>
      <c r="E33" s="401" t="str">
        <f>IF(AUXILIAR!$D$11=1,"-",B33)</f>
        <v>-</v>
      </c>
      <c r="F33" s="169">
        <v>0</v>
      </c>
      <c r="G33" s="377">
        <f>IF(AUXILIAR!$D$11=1,C33,F33+C33)</f>
        <v>0</v>
      </c>
      <c r="H33" s="377">
        <f t="shared" si="0"/>
        <v>0</v>
      </c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</row>
    <row r="34" spans="1:21" ht="12.75">
      <c r="A34" s="400">
        <f>INDEX(AUXILIAR!$I$2:$I$313,AUXILIAR!$A$9+AUXILIAR!M30)</f>
        <v>40695</v>
      </c>
      <c r="B34" s="401">
        <f>IF(A34&lt;AUXILIAR!$D$39,AUXILIAR!M31,IF(A34=AUXILIAR!$D$39,CONCATENATE(B33+1," y última"),""))</f>
      </c>
      <c r="C34" s="169">
        <v>0</v>
      </c>
      <c r="D34" s="400" t="str">
        <f>IF(AUXILIAR!$D$11=1,"-",A34)</f>
        <v>-</v>
      </c>
      <c r="E34" s="401" t="str">
        <f>IF(AUXILIAR!$D$11=1,"-",B34)</f>
        <v>-</v>
      </c>
      <c r="F34" s="169">
        <v>0</v>
      </c>
      <c r="G34" s="377">
        <f>IF(AUXILIAR!$D$11=1,C34,F34+C34)</f>
        <v>0</v>
      </c>
      <c r="H34" s="377">
        <f t="shared" si="0"/>
        <v>0</v>
      </c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</row>
    <row r="35" spans="1:21" ht="12.75">
      <c r="A35" s="400">
        <f>INDEX(AUXILIAR!$I$2:$I$313,AUXILIAR!$A$9+AUXILIAR!M31)</f>
        <v>40725</v>
      </c>
      <c r="B35" s="401">
        <f>IF(A35&lt;AUXILIAR!$D$39,AUXILIAR!M32,IF(A35=AUXILIAR!$D$39,CONCATENATE(B34+1," y última"),""))</f>
      </c>
      <c r="C35" s="169">
        <v>0</v>
      </c>
      <c r="D35" s="400" t="str">
        <f>IF(AUXILIAR!$D$11=1,"-",A35)</f>
        <v>-</v>
      </c>
      <c r="E35" s="401" t="str">
        <f>IF(AUXILIAR!$D$11=1,"-",B35)</f>
        <v>-</v>
      </c>
      <c r="F35" s="169">
        <v>0</v>
      </c>
      <c r="G35" s="377">
        <f>IF(AUXILIAR!$D$11=1,C35,F35+C35)</f>
        <v>0</v>
      </c>
      <c r="H35" s="377">
        <f t="shared" si="0"/>
        <v>0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</row>
    <row r="36" spans="1:21" ht="12.75">
      <c r="A36" s="400">
        <f>INDEX(AUXILIAR!$I$2:$I$313,AUXILIAR!$A$9+AUXILIAR!M32)</f>
        <v>40756</v>
      </c>
      <c r="B36" s="401">
        <f>IF(A36&lt;AUXILIAR!$D$39,AUXILIAR!M33,IF(A36=AUXILIAR!$D$39,CONCATENATE(B35+1," y última"),""))</f>
      </c>
      <c r="C36" s="169">
        <v>0</v>
      </c>
      <c r="D36" s="400" t="str">
        <f>IF(AUXILIAR!$D$11=1,"-",A36)</f>
        <v>-</v>
      </c>
      <c r="E36" s="401" t="str">
        <f>IF(AUXILIAR!$D$11=1,"-",B36)</f>
        <v>-</v>
      </c>
      <c r="F36" s="169">
        <v>0</v>
      </c>
      <c r="G36" s="377">
        <f>IF(AUXILIAR!$D$11=1,C36,F36+C36)</f>
        <v>0</v>
      </c>
      <c r="H36" s="377">
        <f t="shared" si="0"/>
        <v>0</v>
      </c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</row>
    <row r="37" spans="1:21" ht="12.75">
      <c r="A37" s="400">
        <f>INDEX(AUXILIAR!$I$2:$I$313,AUXILIAR!$A$9+AUXILIAR!M33)</f>
        <v>40787</v>
      </c>
      <c r="B37" s="401">
        <f>IF(A37&lt;AUXILIAR!$D$39,AUXILIAR!M34,IF(A37=AUXILIAR!$D$39,CONCATENATE(B36+1," y última"),""))</f>
      </c>
      <c r="C37" s="169">
        <v>0</v>
      </c>
      <c r="D37" s="400" t="str">
        <f>IF(AUXILIAR!$D$11=1,"-",A37)</f>
        <v>-</v>
      </c>
      <c r="E37" s="401" t="str">
        <f>IF(AUXILIAR!$D$11=1,"-",B37)</f>
        <v>-</v>
      </c>
      <c r="F37" s="169">
        <v>0</v>
      </c>
      <c r="G37" s="377">
        <f>IF(AUXILIAR!$D$11=1,C37,F37+C37)</f>
        <v>0</v>
      </c>
      <c r="H37" s="377">
        <f t="shared" si="0"/>
        <v>0</v>
      </c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</row>
    <row r="38" spans="1:21" ht="12.75">
      <c r="A38" s="400">
        <f>INDEX(AUXILIAR!$I$2:$I$313,AUXILIAR!$A$9+AUXILIAR!M34)</f>
        <v>40817</v>
      </c>
      <c r="B38" s="401">
        <f>IF(A38&lt;AUXILIAR!$D$39,AUXILIAR!M35,IF(A38=AUXILIAR!$D$39,CONCATENATE(B37+1," y última"),""))</f>
      </c>
      <c r="C38" s="169">
        <v>0</v>
      </c>
      <c r="D38" s="400" t="str">
        <f>IF(AUXILIAR!$D$11=1,"-",A38)</f>
        <v>-</v>
      </c>
      <c r="E38" s="401" t="str">
        <f>IF(AUXILIAR!$D$11=1,"-",B38)</f>
        <v>-</v>
      </c>
      <c r="F38" s="169">
        <v>0</v>
      </c>
      <c r="G38" s="377">
        <f>IF(AUXILIAR!$D$11=1,C38,F38+C38)</f>
        <v>0</v>
      </c>
      <c r="H38" s="377">
        <f t="shared" si="0"/>
        <v>0</v>
      </c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</row>
    <row r="39" spans="1:21" ht="12.75">
      <c r="A39" s="400">
        <f>INDEX(AUXILIAR!$I$2:$I$313,AUXILIAR!$A$9+AUXILIAR!M35)</f>
        <v>40848</v>
      </c>
      <c r="B39" s="401">
        <f>IF(A39&lt;AUXILIAR!$D$39,AUXILIAR!M36,IF(A39=AUXILIAR!$D$39,CONCATENATE(B38+1," y última"),""))</f>
      </c>
      <c r="C39" s="169">
        <v>0</v>
      </c>
      <c r="D39" s="400" t="str">
        <f>IF(AUXILIAR!$D$11=1,"-",A39)</f>
        <v>-</v>
      </c>
      <c r="E39" s="401" t="str">
        <f>IF(AUXILIAR!$D$11=1,"-",B39)</f>
        <v>-</v>
      </c>
      <c r="F39" s="169">
        <v>0</v>
      </c>
      <c r="G39" s="377">
        <f>IF(AUXILIAR!$D$11=1,C39,F39+C39)</f>
        <v>0</v>
      </c>
      <c r="H39" s="377">
        <f t="shared" si="0"/>
        <v>0</v>
      </c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</row>
    <row r="40" spans="1:21" ht="12.75">
      <c r="A40" s="400">
        <f>INDEX(AUXILIAR!$I$2:$I$313,AUXILIAR!$A$9+AUXILIAR!M36)</f>
        <v>40878</v>
      </c>
      <c r="B40" s="401">
        <f>IF(A40&lt;AUXILIAR!$D$39,AUXILIAR!M37,IF(A40=AUXILIAR!$D$39,CONCATENATE(B39+1," y última"),""))</f>
      </c>
      <c r="C40" s="169">
        <v>0</v>
      </c>
      <c r="D40" s="400" t="str">
        <f>IF(AUXILIAR!$D$11=1,"-",A40)</f>
        <v>-</v>
      </c>
      <c r="E40" s="401" t="str">
        <f>IF(AUXILIAR!$D$11=1,"-",B40)</f>
        <v>-</v>
      </c>
      <c r="F40" s="169">
        <v>0</v>
      </c>
      <c r="G40" s="377">
        <f>IF(AUXILIAR!$D$11=1,C40,F40+C40)</f>
        <v>0</v>
      </c>
      <c r="H40" s="377">
        <f t="shared" si="0"/>
        <v>0</v>
      </c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</row>
    <row r="41" spans="1:21" ht="12.75">
      <c r="A41" s="400">
        <f>INDEX(AUXILIAR!$I$2:$I$313,AUXILIAR!$A$9+AUXILIAR!M37)</f>
        <v>40909</v>
      </c>
      <c r="B41" s="401">
        <f>IF(A41&lt;AUXILIAR!$D$39,AUXILIAR!M38,IF(A41=AUXILIAR!$D$39,CONCATENATE(B40+1," y última"),""))</f>
      </c>
      <c r="C41" s="169">
        <v>0</v>
      </c>
      <c r="D41" s="400" t="str">
        <f>IF(AUXILIAR!$D$11=1,"-",A41)</f>
        <v>-</v>
      </c>
      <c r="E41" s="401" t="str">
        <f>IF(AUXILIAR!$D$11=1,"-",B41)</f>
        <v>-</v>
      </c>
      <c r="F41" s="169">
        <v>0</v>
      </c>
      <c r="G41" s="377">
        <f>IF(AUXILIAR!$D$11=1,C41,F41+C41)</f>
        <v>0</v>
      </c>
      <c r="H41" s="377">
        <f t="shared" si="0"/>
        <v>0</v>
      </c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</row>
    <row r="42" spans="1:21" ht="12.75">
      <c r="A42" s="400">
        <f>INDEX(AUXILIAR!$I$2:$I$313,AUXILIAR!$A$9+AUXILIAR!M38)</f>
        <v>40940</v>
      </c>
      <c r="B42" s="401">
        <f>IF(A42&lt;AUXILIAR!$D$39,AUXILIAR!M39,IF(A42=AUXILIAR!$D$39,CONCATENATE(B41+1," y última"),""))</f>
      </c>
      <c r="C42" s="169">
        <v>0</v>
      </c>
      <c r="D42" s="400" t="str">
        <f>IF(AUXILIAR!$D$11=1,"-",A42)</f>
        <v>-</v>
      </c>
      <c r="E42" s="401" t="str">
        <f>IF(AUXILIAR!$D$11=1,"-",B42)</f>
        <v>-</v>
      </c>
      <c r="F42" s="169">
        <v>0</v>
      </c>
      <c r="G42" s="377">
        <f>IF(AUXILIAR!$D$11=1,C42,F42+C42)</f>
        <v>0</v>
      </c>
      <c r="H42" s="377">
        <f t="shared" si="0"/>
        <v>0</v>
      </c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</row>
    <row r="43" spans="1:21" ht="12.75">
      <c r="A43" s="400">
        <f>INDEX(AUXILIAR!$I$2:$I$313,AUXILIAR!$A$9+AUXILIAR!M39)</f>
        <v>40969</v>
      </c>
      <c r="B43" s="401">
        <f>IF(A43&lt;AUXILIAR!$D$39,AUXILIAR!M40,IF(A43=AUXILIAR!$D$39,CONCATENATE(B42+1," y última"),""))</f>
      </c>
      <c r="C43" s="169">
        <v>0</v>
      </c>
      <c r="D43" s="400" t="str">
        <f>IF(AUXILIAR!$D$11=1,"-",A43)</f>
        <v>-</v>
      </c>
      <c r="E43" s="401" t="str">
        <f>IF(AUXILIAR!$D$11=1,"-",B43)</f>
        <v>-</v>
      </c>
      <c r="F43" s="169">
        <v>0</v>
      </c>
      <c r="G43" s="377">
        <f>IF(AUXILIAR!$D$11=1,C43,F43+C43)</f>
        <v>0</v>
      </c>
      <c r="H43" s="377">
        <f t="shared" si="0"/>
        <v>0</v>
      </c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</row>
    <row r="44" spans="1:21" ht="12.75">
      <c r="A44" s="400">
        <f>INDEX(AUXILIAR!$I$2:$I$313,AUXILIAR!$A$9+AUXILIAR!M40)</f>
        <v>41000</v>
      </c>
      <c r="B44" s="401">
        <f>IF(A44&lt;AUXILIAR!$D$39,AUXILIAR!M41,IF(A44=AUXILIAR!$D$39,CONCATENATE(B43+1," y última"),""))</f>
      </c>
      <c r="C44" s="169">
        <v>0</v>
      </c>
      <c r="D44" s="400" t="str">
        <f>IF(AUXILIAR!$D$11=1,"-",A44)</f>
        <v>-</v>
      </c>
      <c r="E44" s="401" t="str">
        <f>IF(AUXILIAR!$D$11=1,"-",B44)</f>
        <v>-</v>
      </c>
      <c r="F44" s="169">
        <v>0</v>
      </c>
      <c r="G44" s="377">
        <f>IF(AUXILIAR!$D$11=1,C44,F44+C44)</f>
        <v>0</v>
      </c>
      <c r="H44" s="377">
        <f t="shared" si="0"/>
        <v>0</v>
      </c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</row>
    <row r="45" spans="1:21" ht="12.75">
      <c r="A45" s="400">
        <f>INDEX(AUXILIAR!$I$2:$I$313,AUXILIAR!$A$9+AUXILIAR!M41)</f>
        <v>41030</v>
      </c>
      <c r="B45" s="401">
        <f>IF(A45&lt;AUXILIAR!$D$39,AUXILIAR!M42,IF(A45=AUXILIAR!$D$39,CONCATENATE(B44+1," y última"),""))</f>
      </c>
      <c r="C45" s="169">
        <v>0</v>
      </c>
      <c r="D45" s="400" t="str">
        <f>IF(AUXILIAR!$D$11=1,"-",A45)</f>
        <v>-</v>
      </c>
      <c r="E45" s="401" t="str">
        <f>IF(AUXILIAR!$D$11=1,"-",B45)</f>
        <v>-</v>
      </c>
      <c r="F45" s="169">
        <v>0</v>
      </c>
      <c r="G45" s="377">
        <f>IF(AUXILIAR!$D$11=1,C45,F45+C45)</f>
        <v>0</v>
      </c>
      <c r="H45" s="377">
        <f t="shared" si="0"/>
        <v>0</v>
      </c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</row>
    <row r="46" spans="1:21" ht="12.75">
      <c r="A46" s="400">
        <f>INDEX(AUXILIAR!$I$2:$I$313,AUXILIAR!$A$9+AUXILIAR!M42)</f>
        <v>41061</v>
      </c>
      <c r="B46" s="401">
        <f>IF(A46&lt;AUXILIAR!$D$39,AUXILIAR!M43,IF(A46=AUXILIAR!$D$39,CONCATENATE(B45+1," y última"),""))</f>
      </c>
      <c r="C46" s="169">
        <v>0</v>
      </c>
      <c r="D46" s="400" t="str">
        <f>IF(AUXILIAR!$D$11=1,"-",A46)</f>
        <v>-</v>
      </c>
      <c r="E46" s="401" t="str">
        <f>IF(AUXILIAR!$D$11=1,"-",B46)</f>
        <v>-</v>
      </c>
      <c r="F46" s="169">
        <v>0</v>
      </c>
      <c r="G46" s="377">
        <f>IF(AUXILIAR!$D$11=1,C46,F46+C46)</f>
        <v>0</v>
      </c>
      <c r="H46" s="377">
        <f t="shared" si="0"/>
        <v>0</v>
      </c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</row>
    <row r="47" spans="1:21" ht="12.75">
      <c r="A47" s="400">
        <f>INDEX(AUXILIAR!$I$2:$I$313,AUXILIAR!$A$9+AUXILIAR!M43)</f>
        <v>41091</v>
      </c>
      <c r="B47" s="401">
        <f>IF(A47&lt;AUXILIAR!$D$39,AUXILIAR!M44,IF(A47=AUXILIAR!$D$39,CONCATENATE(B46+1," y última"),""))</f>
      </c>
      <c r="C47" s="169">
        <v>0</v>
      </c>
      <c r="D47" s="400" t="str">
        <f>IF(AUXILIAR!$D$11=1,"-",A47)</f>
        <v>-</v>
      </c>
      <c r="E47" s="401" t="str">
        <f>IF(AUXILIAR!$D$11=1,"-",B47)</f>
        <v>-</v>
      </c>
      <c r="F47" s="169">
        <v>0</v>
      </c>
      <c r="G47" s="377">
        <f>IF(AUXILIAR!$D$11=1,C47,F47+C47)</f>
        <v>0</v>
      </c>
      <c r="H47" s="377">
        <f t="shared" si="0"/>
        <v>0</v>
      </c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21" ht="12.75">
      <c r="A48" s="400">
        <f>INDEX(AUXILIAR!$I$2:$I$313,AUXILIAR!$A$9+AUXILIAR!M44)</f>
        <v>41122</v>
      </c>
      <c r="B48" s="401">
        <f>IF(A48&lt;AUXILIAR!$D$39,AUXILIAR!M45,IF(A48=AUXILIAR!$D$39,CONCATENATE(B47+1," y última"),""))</f>
      </c>
      <c r="C48" s="169">
        <v>0</v>
      </c>
      <c r="D48" s="400" t="str">
        <f>IF(AUXILIAR!$D$11=1,"-",A48)</f>
        <v>-</v>
      </c>
      <c r="E48" s="401" t="str">
        <f>IF(AUXILIAR!$D$11=1,"-",B48)</f>
        <v>-</v>
      </c>
      <c r="F48" s="169">
        <v>0</v>
      </c>
      <c r="G48" s="377">
        <f>IF(AUXILIAR!$D$11=1,C48,F48+C48)</f>
        <v>0</v>
      </c>
      <c r="H48" s="377">
        <f t="shared" si="0"/>
        <v>0</v>
      </c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</row>
    <row r="49" spans="1:21" ht="12.75">
      <c r="A49" s="400">
        <f>INDEX(AUXILIAR!$I$2:$I$313,AUXILIAR!$A$9+AUXILIAR!M45)</f>
        <v>41153</v>
      </c>
      <c r="B49" s="401">
        <f>IF(A49&lt;AUXILIAR!$D$39,AUXILIAR!M46,IF(A49=AUXILIAR!$D$39,CONCATENATE(B48+1," y última"),""))</f>
      </c>
      <c r="C49" s="169">
        <v>0</v>
      </c>
      <c r="D49" s="400" t="str">
        <f>IF(AUXILIAR!$D$11=1,"-",A49)</f>
        <v>-</v>
      </c>
      <c r="E49" s="401" t="str">
        <f>IF(AUXILIAR!$D$11=1,"-",B49)</f>
        <v>-</v>
      </c>
      <c r="F49" s="169">
        <v>0</v>
      </c>
      <c r="G49" s="377">
        <f>IF(AUXILIAR!$D$11=1,C49,F49+C49)</f>
        <v>0</v>
      </c>
      <c r="H49" s="377">
        <f t="shared" si="0"/>
        <v>0</v>
      </c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</row>
    <row r="50" spans="1:21" ht="12.75">
      <c r="A50" s="400">
        <f>INDEX(AUXILIAR!$I$2:$I$313,AUXILIAR!$A$9+AUXILIAR!M46)</f>
        <v>41183</v>
      </c>
      <c r="B50" s="401">
        <f>IF(A50&lt;AUXILIAR!$D$39,AUXILIAR!M47,IF(A50=AUXILIAR!$D$39,CONCATENATE(B49+1," y última"),""))</f>
      </c>
      <c r="C50" s="169">
        <v>0</v>
      </c>
      <c r="D50" s="400" t="str">
        <f>IF(AUXILIAR!$D$11=1,"-",A50)</f>
        <v>-</v>
      </c>
      <c r="E50" s="401" t="str">
        <f>IF(AUXILIAR!$D$11=1,"-",B50)</f>
        <v>-</v>
      </c>
      <c r="F50" s="169">
        <v>0</v>
      </c>
      <c r="G50" s="377">
        <f>IF(AUXILIAR!$D$11=1,C50,F50+C50)</f>
        <v>0</v>
      </c>
      <c r="H50" s="377">
        <f t="shared" si="0"/>
        <v>0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</row>
    <row r="51" spans="1:21" ht="12.75">
      <c r="A51" s="400">
        <f>INDEX(AUXILIAR!$I$2:$I$313,AUXILIAR!$A$9+AUXILIAR!M47)</f>
        <v>41214</v>
      </c>
      <c r="B51" s="401">
        <f>IF(A51&lt;AUXILIAR!$D$39,AUXILIAR!M48,IF(A51=AUXILIAR!$D$39,CONCATENATE(B50+1," y última"),""))</f>
      </c>
      <c r="C51" s="169">
        <v>0</v>
      </c>
      <c r="D51" s="400" t="str">
        <f>IF(AUXILIAR!$D$11=1,"-",A51)</f>
        <v>-</v>
      </c>
      <c r="E51" s="401" t="str">
        <f>IF(AUXILIAR!$D$11=1,"-",B51)</f>
        <v>-</v>
      </c>
      <c r="F51" s="169">
        <v>0</v>
      </c>
      <c r="G51" s="377">
        <f>IF(AUXILIAR!$D$11=1,C51,F51+C51)</f>
        <v>0</v>
      </c>
      <c r="H51" s="377">
        <f t="shared" si="0"/>
        <v>0</v>
      </c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</row>
    <row r="52" spans="1:21" ht="12.75">
      <c r="A52" s="400">
        <f>INDEX(AUXILIAR!$I$2:$I$313,AUXILIAR!$A$9+AUXILIAR!M48)</f>
        <v>41244</v>
      </c>
      <c r="B52" s="401">
        <f>IF(A52&lt;AUXILIAR!$D$39,AUXILIAR!M49,IF(A52=AUXILIAR!$D$39,CONCATENATE(B51+1," y última"),""))</f>
      </c>
      <c r="C52" s="169">
        <v>0</v>
      </c>
      <c r="D52" s="400" t="str">
        <f>IF(AUXILIAR!$D$11=1,"-",A52)</f>
        <v>-</v>
      </c>
      <c r="E52" s="401" t="str">
        <f>IF(AUXILIAR!$D$11=1,"-",B52)</f>
        <v>-</v>
      </c>
      <c r="F52" s="169">
        <v>0</v>
      </c>
      <c r="G52" s="377">
        <f>IF(AUXILIAR!$D$11=1,C52,F52+C52)</f>
        <v>0</v>
      </c>
      <c r="H52" s="377">
        <f t="shared" si="0"/>
        <v>0</v>
      </c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</row>
    <row r="53" spans="1:21" ht="12.75">
      <c r="A53" s="400">
        <f>INDEX(AUXILIAR!$I$2:$I$313,AUXILIAR!$A$9+AUXILIAR!M49)</f>
        <v>41275</v>
      </c>
      <c r="B53" s="401">
        <f>IF(A53&lt;AUXILIAR!$D$39,AUXILIAR!M50,IF(A53=AUXILIAR!$D$39,CONCATENATE(B52+1," y última"),""))</f>
      </c>
      <c r="C53" s="169">
        <v>0</v>
      </c>
      <c r="D53" s="400" t="str">
        <f>IF(AUXILIAR!$D$11=1,"-",A53)</f>
        <v>-</v>
      </c>
      <c r="E53" s="401" t="str">
        <f>IF(AUXILIAR!$D$11=1,"-",B53)</f>
        <v>-</v>
      </c>
      <c r="F53" s="169">
        <v>0</v>
      </c>
      <c r="G53" s="377">
        <f>IF(AUXILIAR!$D$11=1,C53,F53+C53)</f>
        <v>0</v>
      </c>
      <c r="H53" s="377">
        <f t="shared" si="0"/>
        <v>0</v>
      </c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</row>
    <row r="54" spans="1:21" ht="12.75">
      <c r="A54" s="400">
        <f>INDEX(AUXILIAR!$I$2:$I$313,AUXILIAR!$A$9+AUXILIAR!M50)</f>
        <v>41306</v>
      </c>
      <c r="B54" s="401">
        <f>IF(A54&lt;AUXILIAR!$D$39,AUXILIAR!M51,IF(A54=AUXILIAR!$D$39,CONCATENATE(B53+1," y última"),""))</f>
      </c>
      <c r="C54" s="169">
        <v>0</v>
      </c>
      <c r="D54" s="400" t="str">
        <f>IF(AUXILIAR!$D$11=1,"-",A54)</f>
        <v>-</v>
      </c>
      <c r="E54" s="401" t="str">
        <f>IF(AUXILIAR!$D$11=1,"-",B54)</f>
        <v>-</v>
      </c>
      <c r="F54" s="169">
        <v>0</v>
      </c>
      <c r="G54" s="377">
        <f>IF(AUXILIAR!$D$11=1,C54,F54+C54)</f>
        <v>0</v>
      </c>
      <c r="H54" s="377">
        <f t="shared" si="0"/>
        <v>0</v>
      </c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</row>
    <row r="55" spans="1:21" ht="48" customHeight="1">
      <c r="A55" s="573" t="s">
        <v>132</v>
      </c>
      <c r="B55" s="573"/>
      <c r="C55" s="170">
        <v>0</v>
      </c>
      <c r="D55" s="573" t="s">
        <v>152</v>
      </c>
      <c r="E55" s="573"/>
      <c r="F55" s="170">
        <v>0</v>
      </c>
      <c r="G55" s="423" t="s">
        <v>276</v>
      </c>
      <c r="H55" s="424">
        <f>H54</f>
        <v>0</v>
      </c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</row>
    <row r="56" spans="1:21" ht="18.75" customHeight="1" hidden="1" thickBot="1">
      <c r="A56" s="571" t="s">
        <v>246</v>
      </c>
      <c r="B56" s="572"/>
      <c r="C56" s="572"/>
      <c r="D56" s="572"/>
      <c r="E56" s="572"/>
      <c r="F56" s="572"/>
      <c r="G56" s="425"/>
      <c r="H56" s="426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</row>
    <row r="57" spans="1:21" ht="32.25" customHeight="1">
      <c r="A57" s="587" t="s">
        <v>322</v>
      </c>
      <c r="B57" s="586"/>
      <c r="C57" s="429">
        <f>AUXILIAR!B100</f>
        <v>0</v>
      </c>
      <c r="D57" s="586" t="s">
        <v>322</v>
      </c>
      <c r="E57" s="586"/>
      <c r="F57" s="430">
        <f>AUXILIAR!E100</f>
        <v>0</v>
      </c>
      <c r="G57" s="425" t="s">
        <v>134</v>
      </c>
      <c r="H57" s="426">
        <f>C55+F55+H55</f>
        <v>0</v>
      </c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</row>
    <row r="58" spans="1:21" ht="29.25" customHeight="1">
      <c r="A58" s="582" t="s">
        <v>153</v>
      </c>
      <c r="B58" s="581"/>
      <c r="C58" s="431">
        <f>AUXILIAR!B101</f>
        <v>0</v>
      </c>
      <c r="D58" s="581" t="s">
        <v>153</v>
      </c>
      <c r="E58" s="581"/>
      <c r="F58" s="432">
        <f>AUXILIAR!E101</f>
        <v>0</v>
      </c>
      <c r="G58" s="427" t="s">
        <v>323</v>
      </c>
      <c r="H58" s="428">
        <f>C58+F58</f>
        <v>0</v>
      </c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</row>
    <row r="59" spans="1:21" ht="12.75" customHeight="1">
      <c r="A59" s="574" t="s">
        <v>133</v>
      </c>
      <c r="B59" s="575"/>
      <c r="C59" s="576"/>
      <c r="D59" s="580" t="s">
        <v>324</v>
      </c>
      <c r="E59" s="580"/>
      <c r="F59" s="580"/>
      <c r="G59" s="580"/>
      <c r="H59" s="580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</row>
    <row r="60" spans="1:21" ht="12.75" customHeight="1" thickBot="1">
      <c r="A60" s="577"/>
      <c r="B60" s="578"/>
      <c r="C60" s="579"/>
      <c r="D60" s="580"/>
      <c r="E60" s="580"/>
      <c r="F60" s="580"/>
      <c r="G60" s="580"/>
      <c r="H60" s="580"/>
      <c r="I60" s="404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</row>
    <row r="61" spans="1:21" ht="12.75" customHeight="1">
      <c r="A61" s="402"/>
      <c r="B61" s="159"/>
      <c r="C61" s="159"/>
      <c r="D61" s="159"/>
      <c r="E61" s="159"/>
      <c r="F61" s="159"/>
      <c r="G61" s="159"/>
      <c r="H61" s="403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</row>
    <row r="62" spans="1:21" ht="19.5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</row>
    <row r="63" spans="1:21" ht="12.7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</row>
    <row r="64" spans="1:21" ht="12.7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</row>
    <row r="65" spans="1:2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</row>
    <row r="66" spans="1:2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</row>
    <row r="67" spans="1:2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</row>
    <row r="68" spans="1:2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</row>
    <row r="69" spans="1:2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</row>
    <row r="70" spans="1:2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</row>
    <row r="71" spans="1:2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</row>
    <row r="72" spans="1:2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  <row r="73" spans="1:2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</row>
    <row r="74" spans="1:2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</row>
    <row r="75" spans="1:2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1:2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</row>
    <row r="77" spans="1:21" ht="12.75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</row>
    <row r="78" spans="1:21" ht="12.7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</row>
    <row r="79" spans="1:2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</row>
    <row r="80" spans="1:2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</row>
    <row r="81" spans="1:2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</row>
    <row r="82" spans="1:2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</row>
    <row r="83" spans="1:2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</row>
    <row r="84" spans="1:2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</row>
    <row r="85" spans="1:2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</row>
    <row r="86" spans="1:2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</row>
    <row r="87" spans="1:2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</row>
    <row r="88" spans="1:2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</row>
    <row r="89" spans="1:2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</row>
  </sheetData>
  <sheetProtection password="E4D0" sheet="1"/>
  <mergeCells count="16">
    <mergeCell ref="A1:B1"/>
    <mergeCell ref="D1:E1"/>
    <mergeCell ref="G1:H1"/>
    <mergeCell ref="D57:E57"/>
    <mergeCell ref="A55:B55"/>
    <mergeCell ref="A57:B57"/>
    <mergeCell ref="A3:C3"/>
    <mergeCell ref="D3:F3"/>
    <mergeCell ref="H3:H4"/>
    <mergeCell ref="G3:G4"/>
    <mergeCell ref="A56:F56"/>
    <mergeCell ref="D55:E55"/>
    <mergeCell ref="A59:C60"/>
    <mergeCell ref="D59:H60"/>
    <mergeCell ref="D58:E58"/>
    <mergeCell ref="A58:B58"/>
  </mergeCells>
  <conditionalFormatting sqref="C57">
    <cfRule type="cellIs" priority="4" dxfId="31" operator="equal" stopIfTrue="1">
      <formula>"ERROR:EXCESO cert ORDINARIAS"</formula>
    </cfRule>
  </conditionalFormatting>
  <conditionalFormatting sqref="C5:C54">
    <cfRule type="expression" priority="5" dxfId="5" stopIfTrue="1">
      <formula>$B5=""</formula>
    </cfRule>
  </conditionalFormatting>
  <conditionalFormatting sqref="C10">
    <cfRule type="expression" priority="6" dxfId="5" stopIfTrue="1">
      <formula>$B10=""</formula>
    </cfRule>
  </conditionalFormatting>
  <conditionalFormatting sqref="F5">
    <cfRule type="expression" priority="7" dxfId="5" stopIfTrue="1">
      <formula>$E$5="-"</formula>
    </cfRule>
    <cfRule type="expression" priority="8" dxfId="5" stopIfTrue="1">
      <formula>$E$5=""</formula>
    </cfRule>
  </conditionalFormatting>
  <conditionalFormatting sqref="F6:F54">
    <cfRule type="expression" priority="9" dxfId="5" stopIfTrue="1">
      <formula>$E$5="-"</formula>
    </cfRule>
    <cfRule type="expression" priority="10" dxfId="5" stopIfTrue="1">
      <formula>$E6=""</formula>
    </cfRule>
  </conditionalFormatting>
  <conditionalFormatting sqref="F5:F9 F11:F54">
    <cfRule type="expression" priority="3" dxfId="5" stopIfTrue="1">
      <formula>$B5=""</formula>
    </cfRule>
  </conditionalFormatting>
  <conditionalFormatting sqref="F10">
    <cfRule type="expression" priority="2" dxfId="5" stopIfTrue="1">
      <formula>$B10=""</formula>
    </cfRule>
  </conditionalFormatting>
  <conditionalFormatting sqref="F57">
    <cfRule type="cellIs" priority="1" dxfId="31" operator="equal" stopIfTrue="1">
      <formula>"ERROR:EXCESO cert ORDINARIAS"</formula>
    </cfRule>
  </conditionalFormatting>
  <hyperlinks>
    <hyperlink ref="G1:H2" location="CERTIFICACIONES!A60" display="CERTIFICACIONES!A60"/>
    <hyperlink ref="A59" location="CERTIFICACIONES!A1" display="CERTIFICACIONES!A1"/>
    <hyperlink ref="D1:E1" location="INICIO!G37" tooltip="VUELVA A LA HOJA INICIO Y PRESIONE &quot;PULSE PARA CALCULAR...&quot;" display="VOLVER A HOJA PRINCIPAL"/>
    <hyperlink ref="G1:H1" location="CERTIFICACIONES!C55" tooltip="PULSE PARA IR DIRECTAMENTE A LAS CASILLAS DE CERTIFICACION FINAL DE OBRA" display=" INTRODUCIR CERTIFICACIÓN FINAL DE OBRA"/>
    <hyperlink ref="A59:C60" location="CERTIFICACIONES!A1" tooltip="VOLVER A LA PARTE SUPERIOR" display="VOLVER ARRIBA"/>
  </hyperlinks>
  <printOptions horizontalCentered="1"/>
  <pageMargins left="0.7480314960629921" right="0.7480314960629921" top="0.7874015748031497" bottom="0.984251968503937" header="0" footer="0"/>
  <pageSetup blackAndWhite="1" fitToHeight="1" fitToWidth="1" horizontalDpi="600" verticalDpi="600" orientation="landscape" paperSize="9" scale="55" r:id="rId3"/>
  <headerFooter alignWithMargins="0">
    <oddHeader>&amp;L&amp;F</oddHeader>
    <oddFooter>&amp;R&amp;8&amp;P DE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Z304"/>
  <sheetViews>
    <sheetView zoomScaleSheetLayoutView="75" zoomScalePageLayoutView="0" workbookViewId="0" topLeftCell="A1">
      <selection activeCell="N86" sqref="N86"/>
    </sheetView>
  </sheetViews>
  <sheetFormatPr defaultColWidth="11.421875" defaultRowHeight="12.75"/>
  <cols>
    <col min="1" max="3" width="13.7109375" style="47" customWidth="1"/>
    <col min="4" max="4" width="13.7109375" style="48" customWidth="1"/>
    <col min="5" max="5" width="13.7109375" style="50" customWidth="1"/>
    <col min="6" max="6" width="14.421875" style="50" customWidth="1"/>
    <col min="7" max="13" width="13.7109375" style="50" customWidth="1"/>
    <col min="14" max="14" width="13.7109375" style="47" customWidth="1"/>
    <col min="15" max="15" width="16.421875" style="47" customWidth="1"/>
    <col min="16" max="22" width="11.421875" style="47" customWidth="1"/>
    <col min="23" max="23" width="14.28125" style="47" customWidth="1"/>
    <col min="24" max="24" width="14.00390625" style="47" customWidth="1"/>
    <col min="25" max="25" width="14.57421875" style="47" customWidth="1"/>
    <col min="26" max="16384" width="11.421875" style="47" customWidth="1"/>
  </cols>
  <sheetData>
    <row r="1" spans="1:19" s="46" customFormat="1" ht="17.25" customHeight="1">
      <c r="A1" s="72"/>
      <c r="B1" s="72"/>
      <c r="C1" s="72"/>
      <c r="D1" s="72"/>
      <c r="E1" s="543" t="s">
        <v>292</v>
      </c>
      <c r="F1" s="543"/>
      <c r="G1" s="543"/>
      <c r="H1" s="543"/>
      <c r="I1" s="543"/>
      <c r="J1" s="72"/>
      <c r="K1" s="72"/>
      <c r="L1" s="72"/>
      <c r="M1" s="72"/>
      <c r="N1" s="159"/>
      <c r="O1" s="159"/>
      <c r="P1" s="159"/>
      <c r="Q1" s="159"/>
      <c r="R1" s="159"/>
      <c r="S1" s="159"/>
    </row>
    <row r="2" spans="1:19" s="46" customFormat="1" ht="9" customHeight="1">
      <c r="A2" s="72"/>
      <c r="B2" s="72"/>
      <c r="C2" s="72"/>
      <c r="D2" s="72"/>
      <c r="E2" s="622" t="s">
        <v>356</v>
      </c>
      <c r="F2" s="622"/>
      <c r="G2" s="622"/>
      <c r="H2" s="622"/>
      <c r="I2" s="622"/>
      <c r="J2" s="73"/>
      <c r="K2" s="72"/>
      <c r="L2" s="72"/>
      <c r="M2" s="72"/>
      <c r="N2" s="159"/>
      <c r="O2" s="159"/>
      <c r="P2" s="159"/>
      <c r="Q2" s="159"/>
      <c r="R2" s="159"/>
      <c r="S2" s="159"/>
    </row>
    <row r="3" spans="1:19" s="46" customFormat="1" ht="12.75" customHeight="1">
      <c r="A3" s="72"/>
      <c r="B3" s="72"/>
      <c r="C3" s="72"/>
      <c r="D3" s="72"/>
      <c r="E3" s="623" t="s">
        <v>354</v>
      </c>
      <c r="F3" s="623"/>
      <c r="G3" s="623"/>
      <c r="H3" s="623"/>
      <c r="I3" s="623"/>
      <c r="J3" s="73"/>
      <c r="K3" s="72"/>
      <c r="L3" s="72"/>
      <c r="M3" s="72"/>
      <c r="N3" s="159"/>
      <c r="O3" s="159"/>
      <c r="P3" s="159"/>
      <c r="Q3" s="159"/>
      <c r="R3" s="159"/>
      <c r="S3" s="159"/>
    </row>
    <row r="4" spans="1:19" s="46" customFormat="1" ht="18.75" customHeight="1">
      <c r="A4" s="72"/>
      <c r="B4" s="72"/>
      <c r="C4" s="72"/>
      <c r="D4" s="72"/>
      <c r="E4" s="624" t="s">
        <v>355</v>
      </c>
      <c r="F4" s="624"/>
      <c r="G4" s="624"/>
      <c r="H4" s="624"/>
      <c r="I4" s="624"/>
      <c r="J4" s="73"/>
      <c r="K4" s="72"/>
      <c r="L4" s="72"/>
      <c r="M4" s="72"/>
      <c r="N4" s="159"/>
      <c r="O4" s="159"/>
      <c r="P4" s="159"/>
      <c r="Q4" s="159"/>
      <c r="R4" s="159"/>
      <c r="S4" s="159"/>
    </row>
    <row r="5" spans="1:19" s="46" customFormat="1" ht="12.75" customHeight="1">
      <c r="A5" s="72"/>
      <c r="B5" s="72"/>
      <c r="C5" s="72"/>
      <c r="D5" s="72"/>
      <c r="E5" s="624"/>
      <c r="F5" s="624"/>
      <c r="G5" s="624"/>
      <c r="H5" s="624"/>
      <c r="I5" s="624"/>
      <c r="J5" s="72"/>
      <c r="K5" s="72"/>
      <c r="L5" s="72"/>
      <c r="M5" s="72"/>
      <c r="N5" s="159"/>
      <c r="O5" s="159"/>
      <c r="P5" s="159"/>
      <c r="Q5" s="159"/>
      <c r="R5" s="159"/>
      <c r="S5" s="159"/>
    </row>
    <row r="6" spans="1:19" s="46" customFormat="1" ht="13.5" customHeight="1" thickBot="1">
      <c r="A6" s="171"/>
      <c r="B6" s="171"/>
      <c r="C6" s="171"/>
      <c r="D6" s="171"/>
      <c r="E6" s="172"/>
      <c r="F6" s="172"/>
      <c r="G6" s="172"/>
      <c r="H6" s="172"/>
      <c r="I6" s="171"/>
      <c r="J6" s="171"/>
      <c r="K6" s="171"/>
      <c r="L6" s="171"/>
      <c r="M6" s="171"/>
      <c r="N6" s="159"/>
      <c r="O6" s="159"/>
      <c r="P6" s="159"/>
      <c r="Q6" s="159"/>
      <c r="R6" s="159"/>
      <c r="S6" s="159"/>
    </row>
    <row r="7" spans="1:19" ht="12.75" customHeight="1">
      <c r="A7" s="268"/>
      <c r="B7" s="268"/>
      <c r="C7" s="269"/>
      <c r="D7" s="620" t="str">
        <f>IF(E134=0,"No hay ningún mes con derecho a revisión.",CONCATENATE("La primera certificación con derecho a revisión es la correspondiente a ",INDEX(AUXILIAR!K2:K277,AUXILIAR!A17)," de ",INDEX(AUXILIAR!L2:L277,AUXILIAR!A17),". De dicho mes será revisable la cantidad de ",TEXT(AUXILIAR!B17,"0,00 €"),IF(AUXILIAR!D11=1,"",CONCATENATE(" de la primera fórmula y ",TEXT(AUXILIAR!D17,"0,00 €"),"  de la segunda"))))</f>
        <v>La primera certificación con derecho a revisión es la correspondiente a Mayo de 2014. De dicho mes será revisable la cantidad de 0,00 €</v>
      </c>
      <c r="E7" s="620"/>
      <c r="F7" s="620"/>
      <c r="G7" s="620"/>
      <c r="H7" s="620"/>
      <c r="I7" s="620"/>
      <c r="J7" s="620"/>
      <c r="K7" s="269"/>
      <c r="L7" s="269"/>
      <c r="M7" s="269"/>
      <c r="N7" s="159"/>
      <c r="O7" s="159"/>
      <c r="P7" s="159"/>
      <c r="Q7" s="159"/>
      <c r="R7" s="159"/>
      <c r="S7" s="159"/>
    </row>
    <row r="8" spans="1:19" ht="12.75" customHeight="1">
      <c r="A8" s="270"/>
      <c r="B8" s="271"/>
      <c r="C8" s="271"/>
      <c r="D8" s="621"/>
      <c r="E8" s="621"/>
      <c r="F8" s="621"/>
      <c r="G8" s="621"/>
      <c r="H8" s="621"/>
      <c r="I8" s="621"/>
      <c r="J8" s="621"/>
      <c r="K8" s="272"/>
      <c r="L8" s="272"/>
      <c r="M8" s="272"/>
      <c r="N8" s="159"/>
      <c r="O8" s="159"/>
      <c r="P8" s="159"/>
      <c r="Q8" s="159"/>
      <c r="R8" s="159"/>
      <c r="S8" s="159"/>
    </row>
    <row r="9" spans="1:19" ht="12" customHeight="1">
      <c r="A9" s="269"/>
      <c r="B9" s="269"/>
      <c r="C9" s="269"/>
      <c r="D9" s="621"/>
      <c r="E9" s="621"/>
      <c r="F9" s="621"/>
      <c r="G9" s="621"/>
      <c r="H9" s="621"/>
      <c r="I9" s="621"/>
      <c r="J9" s="621"/>
      <c r="K9" s="268"/>
      <c r="L9" s="268"/>
      <c r="M9" s="268"/>
      <c r="N9" s="159"/>
      <c r="O9" s="159"/>
      <c r="P9" s="159"/>
      <c r="Q9" s="159"/>
      <c r="R9" s="159"/>
      <c r="S9" s="159"/>
    </row>
    <row r="10" spans="1:19" ht="12" customHeight="1">
      <c r="A10" s="269"/>
      <c r="B10" s="269"/>
      <c r="C10" s="269"/>
      <c r="D10" s="621"/>
      <c r="E10" s="621"/>
      <c r="F10" s="621"/>
      <c r="G10" s="621"/>
      <c r="H10" s="621"/>
      <c r="I10" s="621"/>
      <c r="J10" s="621"/>
      <c r="K10" s="268"/>
      <c r="L10" s="268"/>
      <c r="M10" s="268"/>
      <c r="N10" s="159"/>
      <c r="O10" s="159"/>
      <c r="P10" s="159"/>
      <c r="Q10" s="159"/>
      <c r="R10" s="159"/>
      <c r="S10" s="159"/>
    </row>
    <row r="11" spans="1:19" ht="4.5" customHeight="1">
      <c r="A11" s="269"/>
      <c r="B11" s="269"/>
      <c r="C11" s="269"/>
      <c r="D11" s="273"/>
      <c r="E11" s="268"/>
      <c r="F11" s="268"/>
      <c r="G11" s="268"/>
      <c r="H11" s="268"/>
      <c r="I11" s="268"/>
      <c r="J11" s="268"/>
      <c r="K11" s="268"/>
      <c r="L11" s="268"/>
      <c r="M11" s="268"/>
      <c r="N11" s="159"/>
      <c r="O11" s="159"/>
      <c r="P11" s="159"/>
      <c r="Q11" s="159"/>
      <c r="R11" s="159"/>
      <c r="S11" s="159"/>
    </row>
    <row r="12" spans="1:19" ht="4.5" customHeight="1">
      <c r="A12" s="274"/>
      <c r="B12" s="274"/>
      <c r="C12" s="274"/>
      <c r="D12" s="275"/>
      <c r="E12" s="276"/>
      <c r="F12" s="276"/>
      <c r="G12" s="276"/>
      <c r="H12" s="276"/>
      <c r="I12" s="276"/>
      <c r="J12" s="276"/>
      <c r="K12" s="276"/>
      <c r="L12" s="276"/>
      <c r="M12" s="276"/>
      <c r="N12" s="159"/>
      <c r="O12" s="159"/>
      <c r="P12" s="159"/>
      <c r="Q12" s="159"/>
      <c r="R12" s="159"/>
      <c r="S12" s="159"/>
    </row>
    <row r="13" spans="1:19" ht="27.75" customHeight="1">
      <c r="A13" s="274"/>
      <c r="B13" s="612" t="s">
        <v>325</v>
      </c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274"/>
      <c r="N13" s="159"/>
      <c r="O13" s="159"/>
      <c r="P13" s="159"/>
      <c r="Q13" s="159"/>
      <c r="R13" s="159"/>
      <c r="S13" s="159"/>
    </row>
    <row r="14" spans="1:19" ht="15">
      <c r="A14" s="274"/>
      <c r="B14" s="613" t="s">
        <v>326</v>
      </c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274"/>
      <c r="N14" s="159"/>
      <c r="O14" s="159"/>
      <c r="P14" s="159"/>
      <c r="Q14" s="159"/>
      <c r="R14" s="159"/>
      <c r="S14" s="159"/>
    </row>
    <row r="15" spans="1:19" ht="12.75">
      <c r="A15" s="274"/>
      <c r="B15" s="271" t="s">
        <v>11</v>
      </c>
      <c r="C15" s="271" t="s">
        <v>13</v>
      </c>
      <c r="D15" s="271" t="s">
        <v>14</v>
      </c>
      <c r="E15" s="271" t="s">
        <v>15</v>
      </c>
      <c r="F15" s="271" t="s">
        <v>16</v>
      </c>
      <c r="G15" s="271" t="s">
        <v>17</v>
      </c>
      <c r="H15" s="271" t="s">
        <v>18</v>
      </c>
      <c r="I15" s="271" t="s">
        <v>19</v>
      </c>
      <c r="J15" s="271" t="s">
        <v>20</v>
      </c>
      <c r="K15" s="271" t="s">
        <v>21</v>
      </c>
      <c r="L15" s="271" t="s">
        <v>22</v>
      </c>
      <c r="M15" s="274"/>
      <c r="N15" s="159"/>
      <c r="O15" s="159"/>
      <c r="P15" s="159"/>
      <c r="Q15" s="159"/>
      <c r="R15" s="159"/>
      <c r="S15" s="159"/>
    </row>
    <row r="16" spans="1:19" ht="12.75">
      <c r="A16" s="274"/>
      <c r="B16" s="277">
        <f>FÓRMULAS!C8</f>
        <v>1</v>
      </c>
      <c r="C16" s="278">
        <f>FÓRMULAS!E8</f>
        <v>0.34</v>
      </c>
      <c r="D16" s="278">
        <f>FÓRMULAS!F8</f>
        <v>0.26</v>
      </c>
      <c r="E16" s="278">
        <f>FÓRMULAS!G8</f>
        <v>0.05</v>
      </c>
      <c r="F16" s="278">
        <f>FÓRMULAS!H8</f>
        <v>0.18</v>
      </c>
      <c r="G16" s="278">
        <f>FÓRMULAS!I8</f>
        <v>0.02</v>
      </c>
      <c r="H16" s="278">
        <f>FÓRMULAS!J8</f>
        <v>0</v>
      </c>
      <c r="I16" s="278">
        <f>FÓRMULAS!K8</f>
        <v>0</v>
      </c>
      <c r="J16" s="278">
        <f>FÓRMULAS!L8</f>
        <v>0</v>
      </c>
      <c r="K16" s="278">
        <f>FÓRMULAS!M8</f>
        <v>0</v>
      </c>
      <c r="L16" s="278">
        <f>FÓRMULAS!N8</f>
        <v>0.15</v>
      </c>
      <c r="M16" s="276"/>
      <c r="N16" s="159"/>
      <c r="O16" s="159"/>
      <c r="P16" s="159"/>
      <c r="Q16" s="159"/>
      <c r="R16" s="159"/>
      <c r="S16" s="159"/>
    </row>
    <row r="17" spans="1:19" ht="15">
      <c r="A17" s="274"/>
      <c r="B17" s="613" t="s">
        <v>327</v>
      </c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274"/>
      <c r="N17" s="159"/>
      <c r="O17" s="159"/>
      <c r="P17" s="159"/>
      <c r="Q17" s="159"/>
      <c r="R17" s="159"/>
      <c r="S17" s="159"/>
    </row>
    <row r="18" spans="1:19" ht="12.75">
      <c r="A18" s="274"/>
      <c r="B18" s="271" t="s">
        <v>11</v>
      </c>
      <c r="C18" s="271" t="s">
        <v>13</v>
      </c>
      <c r="D18" s="271" t="s">
        <v>14</v>
      </c>
      <c r="E18" s="271" t="s">
        <v>15</v>
      </c>
      <c r="F18" s="271" t="s">
        <v>16</v>
      </c>
      <c r="G18" s="271" t="s">
        <v>17</v>
      </c>
      <c r="H18" s="271" t="s">
        <v>18</v>
      </c>
      <c r="I18" s="271" t="s">
        <v>19</v>
      </c>
      <c r="J18" s="271" t="s">
        <v>20</v>
      </c>
      <c r="K18" s="271" t="s">
        <v>21</v>
      </c>
      <c r="L18" s="271" t="s">
        <v>22</v>
      </c>
      <c r="M18" s="274"/>
      <c r="N18" s="159"/>
      <c r="O18" s="159"/>
      <c r="P18" s="159"/>
      <c r="Q18" s="159"/>
      <c r="R18" s="159"/>
      <c r="S18" s="159"/>
    </row>
    <row r="19" spans="1:19" ht="12.75">
      <c r="A19" s="274"/>
      <c r="B19" s="277">
        <f>FÓRMULAS!C9</f>
        <v>1</v>
      </c>
      <c r="C19" s="278" t="str">
        <f>FÓRMULAS!E9</f>
        <v>-</v>
      </c>
      <c r="D19" s="278" t="str">
        <f>FÓRMULAS!F9</f>
        <v>-</v>
      </c>
      <c r="E19" s="278" t="str">
        <f>FÓRMULAS!G9</f>
        <v>-</v>
      </c>
      <c r="F19" s="278" t="str">
        <f>FÓRMULAS!H9</f>
        <v>-</v>
      </c>
      <c r="G19" s="278" t="str">
        <f>FÓRMULAS!I9</f>
        <v>-</v>
      </c>
      <c r="H19" s="278" t="str">
        <f>FÓRMULAS!J9</f>
        <v>-</v>
      </c>
      <c r="I19" s="278" t="str">
        <f>FÓRMULAS!K9</f>
        <v>-</v>
      </c>
      <c r="J19" s="278" t="str">
        <f>FÓRMULAS!L9</f>
        <v>-</v>
      </c>
      <c r="K19" s="278" t="str">
        <f>FÓRMULAS!M9</f>
        <v>-</v>
      </c>
      <c r="L19" s="278" t="str">
        <f>FÓRMULAS!N9</f>
        <v>-</v>
      </c>
      <c r="M19" s="274"/>
      <c r="N19" s="159"/>
      <c r="O19" s="159"/>
      <c r="P19" s="159"/>
      <c r="Q19" s="159"/>
      <c r="R19" s="159"/>
      <c r="S19" s="159"/>
    </row>
    <row r="20" spans="1:19" ht="15">
      <c r="A20" s="274"/>
      <c r="B20" s="613" t="s">
        <v>328</v>
      </c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M20" s="274"/>
      <c r="N20" s="159"/>
      <c r="O20" s="159"/>
      <c r="P20" s="159"/>
      <c r="Q20" s="159"/>
      <c r="R20" s="159"/>
      <c r="S20" s="159"/>
    </row>
    <row r="21" spans="1:19" ht="12.75">
      <c r="A21" s="274"/>
      <c r="B21" s="279" t="s">
        <v>49</v>
      </c>
      <c r="C21" s="277" t="str">
        <f>IF(M25&gt;2,AUXILIAR!C12,AUXILIAR!B3)</f>
        <v>Enero</v>
      </c>
      <c r="D21" s="280" t="s">
        <v>30</v>
      </c>
      <c r="E21" s="280" t="s">
        <v>31</v>
      </c>
      <c r="F21" s="280" t="s">
        <v>32</v>
      </c>
      <c r="G21" s="280" t="s">
        <v>33</v>
      </c>
      <c r="H21" s="280" t="s">
        <v>34</v>
      </c>
      <c r="I21" s="280" t="s">
        <v>35</v>
      </c>
      <c r="J21" s="280" t="s">
        <v>36</v>
      </c>
      <c r="K21" s="280" t="s">
        <v>37</v>
      </c>
      <c r="L21" s="280" t="s">
        <v>38</v>
      </c>
      <c r="M21" s="274"/>
      <c r="N21" s="159"/>
      <c r="O21" s="159"/>
      <c r="P21" s="159"/>
      <c r="Q21" s="159"/>
      <c r="R21" s="159"/>
      <c r="S21" s="159"/>
    </row>
    <row r="22" spans="1:19" ht="12.75">
      <c r="A22" s="274"/>
      <c r="B22" s="279" t="s">
        <v>50</v>
      </c>
      <c r="C22" s="277">
        <f>IF(M25=3,AUXILIAR!D12,AUXILIAR!C3)</f>
        <v>2009</v>
      </c>
      <c r="D22" s="278">
        <f>INDEX(INDICES!$A$11:$K$262,AUXILIAR!$D$7,3)</f>
        <v>361.6</v>
      </c>
      <c r="E22" s="278">
        <f>INDEX(INDICES!$A$11:$K$262,AUXILIAR!$D$7,4)</f>
        <v>1712.1</v>
      </c>
      <c r="F22" s="278">
        <f>INDEX(INDICES!$A$11:$K$262,AUXILIAR!$D$7,5)</f>
        <v>1462.9</v>
      </c>
      <c r="G22" s="278">
        <f>INDEX(INDICES!$A$11:$K$262,AUXILIAR!$D$7,6)</f>
        <v>1735.4</v>
      </c>
      <c r="H22" s="278">
        <f>INDEX(INDICES!$A$11:$K$262,AUXILIAR!$D$7,7)</f>
        <v>1102.9</v>
      </c>
      <c r="I22" s="278">
        <f>INDEX(INDICES!$A$11:$K$262,AUXILIAR!$D$7,8)</f>
        <v>2179.8</v>
      </c>
      <c r="J22" s="278">
        <f>INDEX(INDICES!$A$11:$K$262,AUXILIAR!$D$7,9)</f>
        <v>859.1</v>
      </c>
      <c r="K22" s="278">
        <f>INDEX(INDICES!$A$11:$K$262,AUXILIAR!$D$7,10)</f>
        <v>628.7</v>
      </c>
      <c r="L22" s="278">
        <f>INDEX(INDICES!$A$11:$K$262,AUXILIAR!$D$7,11)</f>
        <v>2018.3</v>
      </c>
      <c r="M22" s="274"/>
      <c r="N22" s="159"/>
      <c r="O22" s="159"/>
      <c r="P22" s="159"/>
      <c r="Q22" s="159"/>
      <c r="R22" s="159"/>
      <c r="S22" s="159"/>
    </row>
    <row r="23" spans="1:19" ht="12.75">
      <c r="A23" s="269"/>
      <c r="B23" s="281"/>
      <c r="C23" s="282"/>
      <c r="D23" s="283"/>
      <c r="E23" s="283"/>
      <c r="F23" s="283"/>
      <c r="G23" s="283"/>
      <c r="H23" s="283"/>
      <c r="I23" s="283"/>
      <c r="J23" s="283"/>
      <c r="K23" s="283"/>
      <c r="L23" s="283"/>
      <c r="M23" s="284"/>
      <c r="N23" s="159"/>
      <c r="O23" s="159"/>
      <c r="P23" s="159"/>
      <c r="Q23" s="159"/>
      <c r="R23" s="159"/>
      <c r="S23" s="159"/>
    </row>
    <row r="24" spans="1:19" ht="13.5" thickBot="1">
      <c r="A24" s="285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159"/>
      <c r="O24" s="159"/>
      <c r="P24" s="159"/>
      <c r="Q24" s="159"/>
      <c r="R24" s="159"/>
      <c r="S24" s="159"/>
    </row>
    <row r="25" spans="1:19" ht="15">
      <c r="A25" s="287"/>
      <c r="B25" s="288" t="str">
        <f>CONCATENATE("COEFICIENTES KT CORRESPONDIENTES A LAS CERTIFICACIONES REVISABLES CON LA FÓRMULA TIPO Nº ",B16)</f>
        <v>COEFICIENTES KT CORRESPONDIENTES A LAS CERTIFICACIONES REVISABLES CON LA FÓRMULA TIPO Nº 1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415">
        <f>AUXILIAR!B13</f>
        <v>3</v>
      </c>
      <c r="N25" s="159"/>
      <c r="O25" s="159"/>
      <c r="P25" s="159"/>
      <c r="Q25" s="159"/>
      <c r="R25" s="159"/>
      <c r="S25" s="159"/>
    </row>
    <row r="26" spans="1:19" ht="12.75">
      <c r="A26" s="289" t="s">
        <v>172</v>
      </c>
      <c r="B26" s="290" t="s">
        <v>51</v>
      </c>
      <c r="C26" s="291" t="s">
        <v>39</v>
      </c>
      <c r="D26" s="291" t="s">
        <v>40</v>
      </c>
      <c r="E26" s="291" t="s">
        <v>41</v>
      </c>
      <c r="F26" s="291" t="s">
        <v>42</v>
      </c>
      <c r="G26" s="291" t="s">
        <v>43</v>
      </c>
      <c r="H26" s="291" t="s">
        <v>44</v>
      </c>
      <c r="I26" s="291" t="s">
        <v>45</v>
      </c>
      <c r="J26" s="291" t="s">
        <v>46</v>
      </c>
      <c r="K26" s="291" t="s">
        <v>47</v>
      </c>
      <c r="L26" s="290" t="s">
        <v>48</v>
      </c>
      <c r="M26" s="290" t="s">
        <v>49</v>
      </c>
      <c r="N26" s="159"/>
      <c r="O26" s="159"/>
      <c r="P26" s="159"/>
      <c r="Q26" s="159"/>
      <c r="R26" s="159"/>
      <c r="S26" s="159"/>
    </row>
    <row r="27" spans="1:19" ht="12.75">
      <c r="A27" s="292">
        <f>AUXILIAR!B18</f>
        <v>2</v>
      </c>
      <c r="B27" s="292">
        <f>AUXILIAR!A17</f>
        <v>221</v>
      </c>
      <c r="C27" s="458">
        <f>IF($B27&gt;AUXILIAR!$A$39,0,INDEX(INDICES!$C$11:$K$313,'CÁLCULO REVISIÓN'!$B27,1))</f>
        <v>0</v>
      </c>
      <c r="D27" s="458">
        <f>IF($B27&gt;AUXILIAR!$A$39,0,INDEX(INDICES!$C$11:$K$313,'CÁLCULO REVISIÓN'!$B27,2))</f>
        <v>0</v>
      </c>
      <c r="E27" s="458">
        <f>IF($B27&gt;AUXILIAR!$A$39,0,INDEX(INDICES!$C$11:$K$313,'CÁLCULO REVISIÓN'!$B27,3))</f>
        <v>0</v>
      </c>
      <c r="F27" s="458">
        <f>IF($B27&gt;AUXILIAR!$A$39,0,INDEX(INDICES!$C$11:$K$313,'CÁLCULO REVISIÓN'!$B27,4))</f>
        <v>0</v>
      </c>
      <c r="G27" s="458">
        <f>IF($B27&gt;AUXILIAR!$A$39,0,INDEX(INDICES!$C$11:$K$313,'CÁLCULO REVISIÓN'!$B27,5))</f>
        <v>0</v>
      </c>
      <c r="H27" s="458">
        <f>IF($B27&gt;AUXILIAR!$A$39,0,INDEX(INDICES!$C$11:$K$313,'CÁLCULO REVISIÓN'!$B27,6))</f>
        <v>0</v>
      </c>
      <c r="I27" s="458">
        <f>IF($B27&gt;AUXILIAR!$A$39,0,INDEX(INDICES!$C$11:$K$313,'CÁLCULO REVISIÓN'!$B27,7))</f>
        <v>0</v>
      </c>
      <c r="J27" s="458">
        <f>IF($B27&gt;AUXILIAR!$A$39,0,INDEX(INDICES!$C$11:$K$313,'CÁLCULO REVISIÓN'!$B27,8))</f>
        <v>0</v>
      </c>
      <c r="K27" s="458">
        <f>IF($B27&gt;AUXILIAR!$A$39,0,INDEX(INDICES!$C$11:$K$313,'CÁLCULO REVISIÓN'!$B27,9))</f>
        <v>0</v>
      </c>
      <c r="L27" s="293">
        <f>IF(AUXILIAR!G23&gt;0,IF(B27&gt;AUXILIAR!$A$39,0,$C$16*C27/$D$22+$D$16*H27/$I$22+$E$16*D27/$E$22+$F$16*G27/$H$22+$G$16*K27/$L$22+$H$16*E27/$F$22+$I$16*F27/$G$22+$J$16*J27/$K$22+$K$16*I27/$J$22+$L$16),0)</f>
        <v>0</v>
      </c>
      <c r="M27" s="294">
        <f>INDEX(AUXILIAR!I2:I313,'CÁLCULO REVISIÓN'!$B$27)</f>
        <v>41760</v>
      </c>
      <c r="N27" s="159"/>
      <c r="O27" s="159"/>
      <c r="P27" s="159"/>
      <c r="Q27" s="159"/>
      <c r="R27" s="159"/>
      <c r="S27" s="159"/>
    </row>
    <row r="28" spans="1:19" ht="12.75">
      <c r="A28" s="292">
        <f aca="true" t="shared" si="0" ref="A28:A59">1+A27</f>
        <v>3</v>
      </c>
      <c r="B28" s="292">
        <f aca="true" t="shared" si="1" ref="B28:B59">B27+1</f>
        <v>222</v>
      </c>
      <c r="C28" s="458">
        <f>IF($B28&gt;AUXILIAR!$A$39,0,INDEX(INDICES!$C$11:$K$313,'CÁLCULO REVISIÓN'!$B28,1))</f>
        <v>0</v>
      </c>
      <c r="D28" s="458">
        <f>IF($B28&gt;AUXILIAR!$A$39,0,INDEX(INDICES!$C$11:$K$313,'CÁLCULO REVISIÓN'!$B28,2))</f>
        <v>0</v>
      </c>
      <c r="E28" s="458">
        <f>IF($B28&gt;AUXILIAR!$A$39,0,INDEX(INDICES!$C$11:$K$313,'CÁLCULO REVISIÓN'!$B28,3))</f>
        <v>0</v>
      </c>
      <c r="F28" s="458">
        <f>IF($B28&gt;AUXILIAR!$A$39,0,INDEX(INDICES!$C$11:$K$313,'CÁLCULO REVISIÓN'!$B28,4))</f>
        <v>0</v>
      </c>
      <c r="G28" s="458">
        <f>IF($B28&gt;AUXILIAR!$A$39,0,INDEX(INDICES!$C$11:$K$313,'CÁLCULO REVISIÓN'!$B28,5))</f>
        <v>0</v>
      </c>
      <c r="H28" s="458">
        <f>IF($B28&gt;AUXILIAR!$A$39,0,INDEX(INDICES!$C$11:$K$313,'CÁLCULO REVISIÓN'!$B28,6))</f>
        <v>0</v>
      </c>
      <c r="I28" s="458">
        <f>IF($B28&gt;AUXILIAR!$A$39,0,INDEX(INDICES!$C$11:$K$313,'CÁLCULO REVISIÓN'!$B28,7))</f>
        <v>0</v>
      </c>
      <c r="J28" s="458">
        <f>IF($B28&gt;AUXILIAR!$A$39,0,INDEX(INDICES!$C$11:$K$313,'CÁLCULO REVISIÓN'!$B28,8))</f>
        <v>0</v>
      </c>
      <c r="K28" s="458">
        <f>IF($B28&gt;AUXILIAR!$A$39,0,INDEX(INDICES!$C$11:$K$313,'CÁLCULO REVISIÓN'!$B28,9))</f>
        <v>0</v>
      </c>
      <c r="L28" s="293">
        <f>IF(B28&gt;AUXILIAR!$A$39,0,$C$16*C28/$D$22+$D$16*H28/$I$22+$E$16*D28/$E$22+$F$16*G28/$H$22+$G$16*K28/$L$22+$H$16*E28/$F$22+$I$16*F28/$G$22+$J$16*J28/$K$22+$K$16*I28/$J$22+$L$16)</f>
        <v>0</v>
      </c>
      <c r="M28" s="294">
        <f>INDEX(AUXILIAR!I3:I313,'CÁLCULO REVISIÓN'!$B$27)</f>
        <v>41791</v>
      </c>
      <c r="N28" s="159"/>
      <c r="O28" s="159"/>
      <c r="P28" s="159"/>
      <c r="Q28" s="159"/>
      <c r="R28" s="159"/>
      <c r="S28" s="159"/>
    </row>
    <row r="29" spans="1:19" ht="12.75">
      <c r="A29" s="292">
        <f t="shared" si="0"/>
        <v>4</v>
      </c>
      <c r="B29" s="292">
        <f t="shared" si="1"/>
        <v>223</v>
      </c>
      <c r="C29" s="458">
        <f>IF($B29&gt;AUXILIAR!$A$39,0,INDEX(INDICES!$C$11:$K$313,'CÁLCULO REVISIÓN'!$B29,1))</f>
        <v>0</v>
      </c>
      <c r="D29" s="458">
        <f>IF($B29&gt;AUXILIAR!$A$39,0,INDEX(INDICES!$C$11:$K$313,'CÁLCULO REVISIÓN'!$B29,2))</f>
        <v>0</v>
      </c>
      <c r="E29" s="458">
        <f>IF($B29&gt;AUXILIAR!$A$39,0,INDEX(INDICES!$C$11:$K$313,'CÁLCULO REVISIÓN'!$B29,3))</f>
        <v>0</v>
      </c>
      <c r="F29" s="458">
        <f>IF($B29&gt;AUXILIAR!$A$39,0,INDEX(INDICES!$C$11:$K$313,'CÁLCULO REVISIÓN'!$B29,4))</f>
        <v>0</v>
      </c>
      <c r="G29" s="458">
        <f>IF($B29&gt;AUXILIAR!$A$39,0,INDEX(INDICES!$C$11:$K$313,'CÁLCULO REVISIÓN'!$B29,5))</f>
        <v>0</v>
      </c>
      <c r="H29" s="458">
        <f>IF($B29&gt;AUXILIAR!$A$39,0,INDEX(INDICES!$C$11:$K$313,'CÁLCULO REVISIÓN'!$B29,6))</f>
        <v>0</v>
      </c>
      <c r="I29" s="458">
        <f>IF($B29&gt;AUXILIAR!$A$39,0,INDEX(INDICES!$C$11:$K$313,'CÁLCULO REVISIÓN'!$B29,7))</f>
        <v>0</v>
      </c>
      <c r="J29" s="458">
        <f>IF($B29&gt;AUXILIAR!$A$39,0,INDEX(INDICES!$C$11:$K$313,'CÁLCULO REVISIÓN'!$B29,8))</f>
        <v>0</v>
      </c>
      <c r="K29" s="458">
        <f>IF($B29&gt;AUXILIAR!$A$39,0,INDEX(INDICES!$C$11:$K$313,'CÁLCULO REVISIÓN'!$B29,9))</f>
        <v>0</v>
      </c>
      <c r="L29" s="293">
        <f>IF(B29&gt;AUXILIAR!$A$39,0,$C$16*C29/$D$22+$D$16*H29/$I$22+$E$16*D29/$E$22+$F$16*G29/$H$22+$G$16*K29/$L$22+$H$16*E29/$F$22+$I$16*F29/$G$22+$J$16*J29/$K$22+$K$16*I29/$J$22+$L$16)</f>
        <v>0</v>
      </c>
      <c r="M29" s="294">
        <f>INDEX(AUXILIAR!I4:I279,'CÁLCULO REVISIÓN'!$B$27)</f>
        <v>41821</v>
      </c>
      <c r="N29" s="159"/>
      <c r="O29" s="159"/>
      <c r="P29" s="159"/>
      <c r="Q29" s="159"/>
      <c r="R29" s="159"/>
      <c r="S29" s="159"/>
    </row>
    <row r="30" spans="1:19" ht="12.75">
      <c r="A30" s="292">
        <f t="shared" si="0"/>
        <v>5</v>
      </c>
      <c r="B30" s="292">
        <f t="shared" si="1"/>
        <v>224</v>
      </c>
      <c r="C30" s="458">
        <f>IF($B30&gt;AUXILIAR!$A$39,0,INDEX(INDICES!$C$11:$K$313,'CÁLCULO REVISIÓN'!$B30,1))</f>
        <v>0</v>
      </c>
      <c r="D30" s="458">
        <f>IF($B30&gt;AUXILIAR!$A$39,0,INDEX(INDICES!$C$11:$K$313,'CÁLCULO REVISIÓN'!$B30,2))</f>
        <v>0</v>
      </c>
      <c r="E30" s="458">
        <f>IF($B30&gt;AUXILIAR!$A$39,0,INDEX(INDICES!$C$11:$K$313,'CÁLCULO REVISIÓN'!$B30,3))</f>
        <v>0</v>
      </c>
      <c r="F30" s="458">
        <f>IF($B30&gt;AUXILIAR!$A$39,0,INDEX(INDICES!$C$11:$K$313,'CÁLCULO REVISIÓN'!$B30,4))</f>
        <v>0</v>
      </c>
      <c r="G30" s="458">
        <f>IF($B30&gt;AUXILIAR!$A$39,0,INDEX(INDICES!$C$11:$K$313,'CÁLCULO REVISIÓN'!$B30,5))</f>
        <v>0</v>
      </c>
      <c r="H30" s="458">
        <f>IF($B30&gt;AUXILIAR!$A$39,0,INDEX(INDICES!$C$11:$K$313,'CÁLCULO REVISIÓN'!$B30,6))</f>
        <v>0</v>
      </c>
      <c r="I30" s="458">
        <f>IF($B30&gt;AUXILIAR!$A$39,0,INDEX(INDICES!$C$11:$K$313,'CÁLCULO REVISIÓN'!$B30,7))</f>
        <v>0</v>
      </c>
      <c r="J30" s="458">
        <f>IF($B30&gt;AUXILIAR!$A$39,0,INDEX(INDICES!$C$11:$K$313,'CÁLCULO REVISIÓN'!$B30,8))</f>
        <v>0</v>
      </c>
      <c r="K30" s="458">
        <f>IF($B30&gt;AUXILIAR!$A$39,0,INDEX(INDICES!$C$11:$K$313,'CÁLCULO REVISIÓN'!$B30,9))</f>
        <v>0</v>
      </c>
      <c r="L30" s="293">
        <f>IF(B30&gt;AUXILIAR!$A$39,0,$C$16*C30/$D$22+$D$16*H30/$I$22+$E$16*D30/$E$22+$F$16*G30/$H$22+$G$16*K30/$L$22+$H$16*E30/$F$22+$I$16*F30/$G$22+$J$16*J30/$K$22+$K$16*I30/$J$22+$L$16)</f>
        <v>0</v>
      </c>
      <c r="M30" s="294">
        <f>INDEX(AUXILIAR!I5:I280,'CÁLCULO REVISIÓN'!$B$27)</f>
        <v>41852</v>
      </c>
      <c r="N30" s="159"/>
      <c r="O30" s="159"/>
      <c r="P30" s="159"/>
      <c r="Q30" s="159"/>
      <c r="R30" s="159"/>
      <c r="S30" s="159"/>
    </row>
    <row r="31" spans="1:19" ht="12.75">
      <c r="A31" s="292">
        <f t="shared" si="0"/>
        <v>6</v>
      </c>
      <c r="B31" s="292">
        <f t="shared" si="1"/>
        <v>225</v>
      </c>
      <c r="C31" s="458">
        <f>IF($B31&gt;AUXILIAR!$A$39,0,INDEX(INDICES!$C$11:$K$313,'CÁLCULO REVISIÓN'!$B31,1))</f>
        <v>0</v>
      </c>
      <c r="D31" s="458">
        <f>IF($B31&gt;AUXILIAR!$A$39,0,INDEX(INDICES!$C$11:$K$313,'CÁLCULO REVISIÓN'!$B31,2))</f>
        <v>0</v>
      </c>
      <c r="E31" s="458">
        <f>IF($B31&gt;AUXILIAR!$A$39,0,INDEX(INDICES!$C$11:$K$313,'CÁLCULO REVISIÓN'!$B31,3))</f>
        <v>0</v>
      </c>
      <c r="F31" s="458">
        <f>IF($B31&gt;AUXILIAR!$A$39,0,INDEX(INDICES!$C$11:$K$313,'CÁLCULO REVISIÓN'!$B31,4))</f>
        <v>0</v>
      </c>
      <c r="G31" s="458">
        <f>IF($B31&gt;AUXILIAR!$A$39,0,INDEX(INDICES!$C$11:$K$313,'CÁLCULO REVISIÓN'!$B31,5))</f>
        <v>0</v>
      </c>
      <c r="H31" s="458">
        <f>IF($B31&gt;AUXILIAR!$A$39,0,INDEX(INDICES!$C$11:$K$313,'CÁLCULO REVISIÓN'!$B31,6))</f>
        <v>0</v>
      </c>
      <c r="I31" s="458">
        <f>IF($B31&gt;AUXILIAR!$A$39,0,INDEX(INDICES!$C$11:$K$313,'CÁLCULO REVISIÓN'!$B31,7))</f>
        <v>0</v>
      </c>
      <c r="J31" s="458">
        <f>IF($B31&gt;AUXILIAR!$A$39,0,INDEX(INDICES!$C$11:$K$313,'CÁLCULO REVISIÓN'!$B31,8))</f>
        <v>0</v>
      </c>
      <c r="K31" s="458">
        <f>IF($B31&gt;AUXILIAR!$A$39,0,INDEX(INDICES!$C$11:$K$313,'CÁLCULO REVISIÓN'!$B31,9))</f>
        <v>0</v>
      </c>
      <c r="L31" s="293">
        <f>IF(B31&gt;AUXILIAR!$A$39,0,$C$16*C31/$D$22+$D$16*H31/$I$22+$E$16*D31/$E$22+$F$16*G31/$H$22+$G$16*K31/$L$22+$H$16*E31/$F$22+$I$16*F31/$G$22+$J$16*J31/$K$22+$K$16*I31/$J$22+$L$16)</f>
        <v>0</v>
      </c>
      <c r="M31" s="294">
        <f>INDEX(AUXILIAR!I6:I281,'CÁLCULO REVISIÓN'!$B$27)</f>
        <v>41883</v>
      </c>
      <c r="N31" s="159"/>
      <c r="O31" s="159"/>
      <c r="P31" s="159"/>
      <c r="Q31" s="159"/>
      <c r="R31" s="159"/>
      <c r="S31" s="159"/>
    </row>
    <row r="32" spans="1:19" ht="12.75">
      <c r="A32" s="292">
        <f t="shared" si="0"/>
        <v>7</v>
      </c>
      <c r="B32" s="292">
        <f t="shared" si="1"/>
        <v>226</v>
      </c>
      <c r="C32" s="458">
        <f>IF($B32&gt;AUXILIAR!$A$39,0,INDEX(INDICES!$C$11:$K$313,'CÁLCULO REVISIÓN'!$B32,1))</f>
        <v>0</v>
      </c>
      <c r="D32" s="458">
        <f>IF($B32&gt;AUXILIAR!$A$39,0,INDEX(INDICES!$C$11:$K$313,'CÁLCULO REVISIÓN'!$B32,2))</f>
        <v>0</v>
      </c>
      <c r="E32" s="458">
        <f>IF($B32&gt;AUXILIAR!$A$39,0,INDEX(INDICES!$C$11:$K$313,'CÁLCULO REVISIÓN'!$B32,3))</f>
        <v>0</v>
      </c>
      <c r="F32" s="458">
        <f>IF($B32&gt;AUXILIAR!$A$39,0,INDEX(INDICES!$C$11:$K$313,'CÁLCULO REVISIÓN'!$B32,4))</f>
        <v>0</v>
      </c>
      <c r="G32" s="458">
        <f>IF($B32&gt;AUXILIAR!$A$39,0,INDEX(INDICES!$C$11:$K$313,'CÁLCULO REVISIÓN'!$B32,5))</f>
        <v>0</v>
      </c>
      <c r="H32" s="458">
        <f>IF($B32&gt;AUXILIAR!$A$39,0,INDEX(INDICES!$C$11:$K$313,'CÁLCULO REVISIÓN'!$B32,6))</f>
        <v>0</v>
      </c>
      <c r="I32" s="458">
        <f>IF($B32&gt;AUXILIAR!$A$39,0,INDEX(INDICES!$C$11:$K$313,'CÁLCULO REVISIÓN'!$B32,7))</f>
        <v>0</v>
      </c>
      <c r="J32" s="458">
        <f>IF($B32&gt;AUXILIAR!$A$39,0,INDEX(INDICES!$C$11:$K$313,'CÁLCULO REVISIÓN'!$B32,8))</f>
        <v>0</v>
      </c>
      <c r="K32" s="458">
        <f>IF($B32&gt;AUXILIAR!$A$39,0,INDEX(INDICES!$C$11:$K$313,'CÁLCULO REVISIÓN'!$B32,9))</f>
        <v>0</v>
      </c>
      <c r="L32" s="293">
        <f>IF(B32&gt;AUXILIAR!$A$39,0,$C$16*C32/$D$22+$D$16*H32/$I$22+$E$16*D32/$E$22+$F$16*G32/$H$22+$G$16*K32/$L$22+$H$16*E32/$F$22+$I$16*F32/$G$22+$J$16*J32/$K$22+$K$16*I32/$J$22+$L$16)</f>
        <v>0</v>
      </c>
      <c r="M32" s="294">
        <f>INDEX(AUXILIAR!I7:I282,'CÁLCULO REVISIÓN'!$B$27)</f>
        <v>41913</v>
      </c>
      <c r="N32" s="159"/>
      <c r="O32" s="159"/>
      <c r="P32" s="159"/>
      <c r="Q32" s="159"/>
      <c r="R32" s="159"/>
      <c r="S32" s="159"/>
    </row>
    <row r="33" spans="1:19" ht="12.75">
      <c r="A33" s="292">
        <f t="shared" si="0"/>
        <v>8</v>
      </c>
      <c r="B33" s="292">
        <f t="shared" si="1"/>
        <v>227</v>
      </c>
      <c r="C33" s="458">
        <f>IF($B33&gt;AUXILIAR!$A$39,0,INDEX(INDICES!$C$11:$K$313,'CÁLCULO REVISIÓN'!$B33,1))</f>
        <v>0</v>
      </c>
      <c r="D33" s="458">
        <f>IF($B33&gt;AUXILIAR!$A$39,0,INDEX(INDICES!$C$11:$K$313,'CÁLCULO REVISIÓN'!$B33,2))</f>
        <v>0</v>
      </c>
      <c r="E33" s="458">
        <f>IF($B33&gt;AUXILIAR!$A$39,0,INDEX(INDICES!$C$11:$K$313,'CÁLCULO REVISIÓN'!$B33,3))</f>
        <v>0</v>
      </c>
      <c r="F33" s="458">
        <f>IF($B33&gt;AUXILIAR!$A$39,0,INDEX(INDICES!$C$11:$K$313,'CÁLCULO REVISIÓN'!$B33,4))</f>
        <v>0</v>
      </c>
      <c r="G33" s="458">
        <f>IF($B33&gt;AUXILIAR!$A$39,0,INDEX(INDICES!$C$11:$K$313,'CÁLCULO REVISIÓN'!$B33,5))</f>
        <v>0</v>
      </c>
      <c r="H33" s="458">
        <f>IF($B33&gt;AUXILIAR!$A$39,0,INDEX(INDICES!$C$11:$K$313,'CÁLCULO REVISIÓN'!$B33,6))</f>
        <v>0</v>
      </c>
      <c r="I33" s="458">
        <f>IF($B33&gt;AUXILIAR!$A$39,0,INDEX(INDICES!$C$11:$K$313,'CÁLCULO REVISIÓN'!$B33,7))</f>
        <v>0</v>
      </c>
      <c r="J33" s="458">
        <f>IF($B33&gt;AUXILIAR!$A$39,0,INDEX(INDICES!$C$11:$K$313,'CÁLCULO REVISIÓN'!$B33,8))</f>
        <v>0</v>
      </c>
      <c r="K33" s="458">
        <f>IF($B33&gt;AUXILIAR!$A$39,0,INDEX(INDICES!$C$11:$K$313,'CÁLCULO REVISIÓN'!$B33,9))</f>
        <v>0</v>
      </c>
      <c r="L33" s="293">
        <f>IF(B33&gt;AUXILIAR!$A$39,0,$C$16*C33/$D$22+$D$16*H33/$I$22+$E$16*D33/$E$22+$F$16*G33/$H$22+$G$16*K33/$L$22+$H$16*E33/$F$22+$I$16*F33/$G$22+$J$16*J33/$K$22+$K$16*I33/$J$22+$L$16)</f>
        <v>0</v>
      </c>
      <c r="M33" s="294">
        <f>INDEX(AUXILIAR!I8:I283,'CÁLCULO REVISIÓN'!$B$27)</f>
        <v>41944</v>
      </c>
      <c r="N33" s="159"/>
      <c r="O33" s="159"/>
      <c r="P33" s="159"/>
      <c r="Q33" s="159"/>
      <c r="R33" s="159"/>
      <c r="S33" s="159"/>
    </row>
    <row r="34" spans="1:19" ht="12.75">
      <c r="A34" s="292">
        <f t="shared" si="0"/>
        <v>9</v>
      </c>
      <c r="B34" s="292">
        <f t="shared" si="1"/>
        <v>228</v>
      </c>
      <c r="C34" s="458">
        <f>IF($B34&gt;AUXILIAR!$A$39,0,INDEX(INDICES!$C$11:$K$313,'CÁLCULO REVISIÓN'!$B34,1))</f>
        <v>0</v>
      </c>
      <c r="D34" s="458">
        <f>IF($B34&gt;AUXILIAR!$A$39,0,INDEX(INDICES!$C$11:$K$313,'CÁLCULO REVISIÓN'!$B34,2))</f>
        <v>0</v>
      </c>
      <c r="E34" s="458">
        <f>IF($B34&gt;AUXILIAR!$A$39,0,INDEX(INDICES!$C$11:$K$313,'CÁLCULO REVISIÓN'!$B34,3))</f>
        <v>0</v>
      </c>
      <c r="F34" s="458">
        <f>IF($B34&gt;AUXILIAR!$A$39,0,INDEX(INDICES!$C$11:$K$313,'CÁLCULO REVISIÓN'!$B34,4))</f>
        <v>0</v>
      </c>
      <c r="G34" s="458">
        <f>IF($B34&gt;AUXILIAR!$A$39,0,INDEX(INDICES!$C$11:$K$313,'CÁLCULO REVISIÓN'!$B34,5))</f>
        <v>0</v>
      </c>
      <c r="H34" s="458">
        <f>IF($B34&gt;AUXILIAR!$A$39,0,INDEX(INDICES!$C$11:$K$313,'CÁLCULO REVISIÓN'!$B34,6))</f>
        <v>0</v>
      </c>
      <c r="I34" s="458">
        <f>IF($B34&gt;AUXILIAR!$A$39,0,INDEX(INDICES!$C$11:$K$313,'CÁLCULO REVISIÓN'!$B34,7))</f>
        <v>0</v>
      </c>
      <c r="J34" s="458">
        <f>IF($B34&gt;AUXILIAR!$A$39,0,INDEX(INDICES!$C$11:$K$313,'CÁLCULO REVISIÓN'!$B34,8))</f>
        <v>0</v>
      </c>
      <c r="K34" s="458">
        <f>IF($B34&gt;AUXILIAR!$A$39,0,INDEX(INDICES!$C$11:$K$313,'CÁLCULO REVISIÓN'!$B34,9))</f>
        <v>0</v>
      </c>
      <c r="L34" s="293">
        <f>IF(B34&gt;AUXILIAR!$A$39,0,$C$16*C34/$D$22+$D$16*H34/$I$22+$E$16*D34/$E$22+$F$16*G34/$H$22+$G$16*K34/$L$22+$H$16*E34/$F$22+$I$16*F34/$G$22+$J$16*J34/$K$22+$K$16*I34/$J$22+$L$16)</f>
        <v>0</v>
      </c>
      <c r="M34" s="294">
        <f>INDEX(AUXILIAR!I9:I284,'CÁLCULO REVISIÓN'!$B$27)</f>
        <v>41974</v>
      </c>
      <c r="N34" s="159"/>
      <c r="O34" s="159"/>
      <c r="P34" s="159"/>
      <c r="Q34" s="159"/>
      <c r="R34" s="159"/>
      <c r="S34" s="159"/>
    </row>
    <row r="35" spans="1:19" ht="12.75">
      <c r="A35" s="292">
        <f t="shared" si="0"/>
        <v>10</v>
      </c>
      <c r="B35" s="292">
        <f t="shared" si="1"/>
        <v>229</v>
      </c>
      <c r="C35" s="458">
        <f>IF($B35&gt;AUXILIAR!$A$39,0,INDEX(INDICES!$C$11:$K$313,'CÁLCULO REVISIÓN'!$B35,1))</f>
        <v>0</v>
      </c>
      <c r="D35" s="458">
        <f>IF($B35&gt;AUXILIAR!$A$39,0,INDEX(INDICES!$C$11:$K$313,'CÁLCULO REVISIÓN'!$B35,2))</f>
        <v>0</v>
      </c>
      <c r="E35" s="458">
        <f>IF($B35&gt;AUXILIAR!$A$39,0,INDEX(INDICES!$C$11:$K$313,'CÁLCULO REVISIÓN'!$B35,3))</f>
        <v>0</v>
      </c>
      <c r="F35" s="458">
        <f>IF($B35&gt;AUXILIAR!$A$39,0,INDEX(INDICES!$C$11:$K$313,'CÁLCULO REVISIÓN'!$B35,4))</f>
        <v>0</v>
      </c>
      <c r="G35" s="458">
        <f>IF($B35&gt;AUXILIAR!$A$39,0,INDEX(INDICES!$C$11:$K$313,'CÁLCULO REVISIÓN'!$B35,5))</f>
        <v>0</v>
      </c>
      <c r="H35" s="458">
        <f>IF($B35&gt;AUXILIAR!$A$39,0,INDEX(INDICES!$C$11:$K$313,'CÁLCULO REVISIÓN'!$B35,6))</f>
        <v>0</v>
      </c>
      <c r="I35" s="458">
        <f>IF($B35&gt;AUXILIAR!$A$39,0,INDEX(INDICES!$C$11:$K$313,'CÁLCULO REVISIÓN'!$B35,7))</f>
        <v>0</v>
      </c>
      <c r="J35" s="458">
        <f>IF($B35&gt;AUXILIAR!$A$39,0,INDEX(INDICES!$C$11:$K$313,'CÁLCULO REVISIÓN'!$B35,8))</f>
        <v>0</v>
      </c>
      <c r="K35" s="458">
        <f>IF($B35&gt;AUXILIAR!$A$39,0,INDEX(INDICES!$C$11:$K$313,'CÁLCULO REVISIÓN'!$B35,9))</f>
        <v>0</v>
      </c>
      <c r="L35" s="293">
        <f>IF(B35&gt;AUXILIAR!$A$39,0,$C$16*C35/$D$22+$D$16*H35/$I$22+$E$16*D35/$E$22+$F$16*G35/$H$22+$G$16*K35/$L$22+$H$16*E35/$F$22+$I$16*F35/$G$22+$J$16*J35/$K$22+$K$16*I35/$J$22+$L$16)</f>
        <v>0</v>
      </c>
      <c r="M35" s="294">
        <f>INDEX(AUXILIAR!I10:I285,'CÁLCULO REVISIÓN'!$B$27)</f>
        <v>42005</v>
      </c>
      <c r="N35" s="159"/>
      <c r="O35" s="159"/>
      <c r="P35" s="159"/>
      <c r="Q35" s="159"/>
      <c r="R35" s="159"/>
      <c r="S35" s="159"/>
    </row>
    <row r="36" spans="1:19" ht="12.75">
      <c r="A36" s="292">
        <f t="shared" si="0"/>
        <v>11</v>
      </c>
      <c r="B36" s="292">
        <f t="shared" si="1"/>
        <v>230</v>
      </c>
      <c r="C36" s="458">
        <f>IF($B36&gt;AUXILIAR!$A$39,0,INDEX(INDICES!$C$11:$K$313,'CÁLCULO REVISIÓN'!$B36,1))</f>
        <v>0</v>
      </c>
      <c r="D36" s="458">
        <f>IF($B36&gt;AUXILIAR!$A$39,0,INDEX(INDICES!$C$11:$K$313,'CÁLCULO REVISIÓN'!$B36,2))</f>
        <v>0</v>
      </c>
      <c r="E36" s="458">
        <f>IF($B36&gt;AUXILIAR!$A$39,0,INDEX(INDICES!$C$11:$K$313,'CÁLCULO REVISIÓN'!$B36,3))</f>
        <v>0</v>
      </c>
      <c r="F36" s="458">
        <f>IF($B36&gt;AUXILIAR!$A$39,0,INDEX(INDICES!$C$11:$K$313,'CÁLCULO REVISIÓN'!$B36,4))</f>
        <v>0</v>
      </c>
      <c r="G36" s="458">
        <f>IF($B36&gt;AUXILIAR!$A$39,0,INDEX(INDICES!$C$11:$K$313,'CÁLCULO REVISIÓN'!$B36,5))</f>
        <v>0</v>
      </c>
      <c r="H36" s="458">
        <f>IF($B36&gt;AUXILIAR!$A$39,0,INDEX(INDICES!$C$11:$K$313,'CÁLCULO REVISIÓN'!$B36,6))</f>
        <v>0</v>
      </c>
      <c r="I36" s="458">
        <f>IF($B36&gt;AUXILIAR!$A$39,0,INDEX(INDICES!$C$11:$K$313,'CÁLCULO REVISIÓN'!$B36,7))</f>
        <v>0</v>
      </c>
      <c r="J36" s="458">
        <f>IF($B36&gt;AUXILIAR!$A$39,0,INDEX(INDICES!$C$11:$K$313,'CÁLCULO REVISIÓN'!$B36,8))</f>
        <v>0</v>
      </c>
      <c r="K36" s="458">
        <f>IF($B36&gt;AUXILIAR!$A$39,0,INDEX(INDICES!$C$11:$K$313,'CÁLCULO REVISIÓN'!$B36,9))</f>
        <v>0</v>
      </c>
      <c r="L36" s="293">
        <f>IF(B36&gt;AUXILIAR!$A$39,0,$C$16*C36/$D$22+$D$16*H36/$I$22+$E$16*D36/$E$22+$F$16*G36/$H$22+$G$16*K36/$L$22+$H$16*E36/$F$22+$I$16*F36/$G$22+$J$16*J36/$K$22+$K$16*I36/$J$22+$L$16)</f>
        <v>0</v>
      </c>
      <c r="M36" s="294">
        <f>INDEX(AUXILIAR!I11:I286,'CÁLCULO REVISIÓN'!$B$27)</f>
        <v>42036</v>
      </c>
      <c r="N36" s="159"/>
      <c r="O36" s="159"/>
      <c r="P36" s="159"/>
      <c r="Q36" s="159"/>
      <c r="R36" s="159"/>
      <c r="S36" s="159"/>
    </row>
    <row r="37" spans="1:19" ht="12.75">
      <c r="A37" s="292">
        <f t="shared" si="0"/>
        <v>12</v>
      </c>
      <c r="B37" s="292">
        <f t="shared" si="1"/>
        <v>231</v>
      </c>
      <c r="C37" s="458">
        <f>IF($B37&gt;AUXILIAR!$A$39,0,INDEX(INDICES!$C$11:$K$313,'CÁLCULO REVISIÓN'!$B37,1))</f>
        <v>0</v>
      </c>
      <c r="D37" s="458">
        <f>IF($B37&gt;AUXILIAR!$A$39,0,INDEX(INDICES!$C$11:$K$313,'CÁLCULO REVISIÓN'!$B37,2))</f>
        <v>0</v>
      </c>
      <c r="E37" s="458">
        <f>IF($B37&gt;AUXILIAR!$A$39,0,INDEX(INDICES!$C$11:$K$313,'CÁLCULO REVISIÓN'!$B37,3))</f>
        <v>0</v>
      </c>
      <c r="F37" s="458">
        <f>IF($B37&gt;AUXILIAR!$A$39,0,INDEX(INDICES!$C$11:$K$313,'CÁLCULO REVISIÓN'!$B37,4))</f>
        <v>0</v>
      </c>
      <c r="G37" s="458">
        <f>IF($B37&gt;AUXILIAR!$A$39,0,INDEX(INDICES!$C$11:$K$313,'CÁLCULO REVISIÓN'!$B37,5))</f>
        <v>0</v>
      </c>
      <c r="H37" s="458">
        <f>IF($B37&gt;AUXILIAR!$A$39,0,INDEX(INDICES!$C$11:$K$313,'CÁLCULO REVISIÓN'!$B37,6))</f>
        <v>0</v>
      </c>
      <c r="I37" s="458">
        <f>IF($B37&gt;AUXILIAR!$A$39,0,INDEX(INDICES!$C$11:$K$313,'CÁLCULO REVISIÓN'!$B37,7))</f>
        <v>0</v>
      </c>
      <c r="J37" s="458">
        <f>IF($B37&gt;AUXILIAR!$A$39,0,INDEX(INDICES!$C$11:$K$313,'CÁLCULO REVISIÓN'!$B37,8))</f>
        <v>0</v>
      </c>
      <c r="K37" s="458">
        <f>IF($B37&gt;AUXILIAR!$A$39,0,INDEX(INDICES!$C$11:$K$313,'CÁLCULO REVISIÓN'!$B37,9))</f>
        <v>0</v>
      </c>
      <c r="L37" s="293">
        <f>IF(B37&gt;AUXILIAR!$A$39,0,$C$16*C37/$D$22+$D$16*H37/$I$22+$E$16*D37/$E$22+$F$16*G37/$H$22+$G$16*K37/$L$22+$H$16*E37/$F$22+$I$16*F37/$G$22+$J$16*J37/$K$22+$K$16*I37/$J$22+$L$16)</f>
        <v>0</v>
      </c>
      <c r="M37" s="294">
        <f>INDEX(AUXILIAR!I12:I287,'CÁLCULO REVISIÓN'!$B$27)</f>
        <v>42064</v>
      </c>
      <c r="N37" s="159"/>
      <c r="O37" s="159"/>
      <c r="P37" s="159"/>
      <c r="Q37" s="159"/>
      <c r="R37" s="159"/>
      <c r="S37" s="159"/>
    </row>
    <row r="38" spans="1:19" ht="12.75">
      <c r="A38" s="292">
        <f t="shared" si="0"/>
        <v>13</v>
      </c>
      <c r="B38" s="292">
        <f t="shared" si="1"/>
        <v>232</v>
      </c>
      <c r="C38" s="458">
        <f>IF($B38&gt;AUXILIAR!$A$39,0,INDEX(INDICES!$C$11:$K$313,'CÁLCULO REVISIÓN'!$B38,1))</f>
        <v>0</v>
      </c>
      <c r="D38" s="458">
        <f>IF($B38&gt;AUXILIAR!$A$39,0,INDEX(INDICES!$C$11:$K$313,'CÁLCULO REVISIÓN'!$B38,2))</f>
        <v>0</v>
      </c>
      <c r="E38" s="458">
        <f>IF($B38&gt;AUXILIAR!$A$39,0,INDEX(INDICES!$C$11:$K$313,'CÁLCULO REVISIÓN'!$B38,3))</f>
        <v>0</v>
      </c>
      <c r="F38" s="458">
        <f>IF($B38&gt;AUXILIAR!$A$39,0,INDEX(INDICES!$C$11:$K$313,'CÁLCULO REVISIÓN'!$B38,4))</f>
        <v>0</v>
      </c>
      <c r="G38" s="458">
        <f>IF($B38&gt;AUXILIAR!$A$39,0,INDEX(INDICES!$C$11:$K$313,'CÁLCULO REVISIÓN'!$B38,5))</f>
        <v>0</v>
      </c>
      <c r="H38" s="458">
        <f>IF($B38&gt;AUXILIAR!$A$39,0,INDEX(INDICES!$C$11:$K$313,'CÁLCULO REVISIÓN'!$B38,6))</f>
        <v>0</v>
      </c>
      <c r="I38" s="458">
        <f>IF($B38&gt;AUXILIAR!$A$39,0,INDEX(INDICES!$C$11:$K$313,'CÁLCULO REVISIÓN'!$B38,7))</f>
        <v>0</v>
      </c>
      <c r="J38" s="458">
        <f>IF($B38&gt;AUXILIAR!$A$39,0,INDEX(INDICES!$C$11:$K$313,'CÁLCULO REVISIÓN'!$B38,8))</f>
        <v>0</v>
      </c>
      <c r="K38" s="458">
        <f>IF($B38&gt;AUXILIAR!$A$39,0,INDEX(INDICES!$C$11:$K$313,'CÁLCULO REVISIÓN'!$B38,9))</f>
        <v>0</v>
      </c>
      <c r="L38" s="293">
        <f>IF(B38&gt;AUXILIAR!$A$39,0,$C$16*C38/$D$22+$D$16*H38/$I$22+$E$16*D38/$E$22+$F$16*G38/$H$22+$G$16*K38/$L$22+$H$16*E38/$F$22+$I$16*F38/$G$22+$J$16*J38/$K$22+$K$16*I38/$J$22+$L$16)</f>
        <v>0</v>
      </c>
      <c r="M38" s="294">
        <f>INDEX(AUXILIAR!I13:I288,'CÁLCULO REVISIÓN'!$B$27)</f>
        <v>42095</v>
      </c>
      <c r="N38" s="159"/>
      <c r="O38" s="159"/>
      <c r="P38" s="159"/>
      <c r="Q38" s="159"/>
      <c r="R38" s="159"/>
      <c r="S38" s="159"/>
    </row>
    <row r="39" spans="1:19" ht="12.75">
      <c r="A39" s="292">
        <f t="shared" si="0"/>
        <v>14</v>
      </c>
      <c r="B39" s="292">
        <f t="shared" si="1"/>
        <v>233</v>
      </c>
      <c r="C39" s="458">
        <f>IF($B39&gt;AUXILIAR!$A$39,0,INDEX(INDICES!$C$11:$K$313,'CÁLCULO REVISIÓN'!$B39,1))</f>
        <v>0</v>
      </c>
      <c r="D39" s="458">
        <f>IF($B39&gt;AUXILIAR!$A$39,0,INDEX(INDICES!$C$11:$K$313,'CÁLCULO REVISIÓN'!$B39,2))</f>
        <v>0</v>
      </c>
      <c r="E39" s="458">
        <f>IF($B39&gt;AUXILIAR!$A$39,0,INDEX(INDICES!$C$11:$K$313,'CÁLCULO REVISIÓN'!$B39,3))</f>
        <v>0</v>
      </c>
      <c r="F39" s="458">
        <f>IF($B39&gt;AUXILIAR!$A$39,0,INDEX(INDICES!$C$11:$K$313,'CÁLCULO REVISIÓN'!$B39,4))</f>
        <v>0</v>
      </c>
      <c r="G39" s="458">
        <f>IF($B39&gt;AUXILIAR!$A$39,0,INDEX(INDICES!$C$11:$K$313,'CÁLCULO REVISIÓN'!$B39,5))</f>
        <v>0</v>
      </c>
      <c r="H39" s="458">
        <f>IF($B39&gt;AUXILIAR!$A$39,0,INDEX(INDICES!$C$11:$K$313,'CÁLCULO REVISIÓN'!$B39,6))</f>
        <v>0</v>
      </c>
      <c r="I39" s="458">
        <f>IF($B39&gt;AUXILIAR!$A$39,0,INDEX(INDICES!$C$11:$K$313,'CÁLCULO REVISIÓN'!$B39,7))</f>
        <v>0</v>
      </c>
      <c r="J39" s="458">
        <f>IF($B39&gt;AUXILIAR!$A$39,0,INDEX(INDICES!$C$11:$K$313,'CÁLCULO REVISIÓN'!$B39,8))</f>
        <v>0</v>
      </c>
      <c r="K39" s="458">
        <f>IF($B39&gt;AUXILIAR!$A$39,0,INDEX(INDICES!$C$11:$K$313,'CÁLCULO REVISIÓN'!$B39,9))</f>
        <v>0</v>
      </c>
      <c r="L39" s="293">
        <f>IF(B39&gt;AUXILIAR!$A$39,0,$C$16*C39/$D$22+$D$16*H39/$I$22+$E$16*D39/$E$22+$F$16*G39/$H$22+$G$16*K39/$L$22+$H$16*E39/$F$22+$I$16*F39/$G$22+$J$16*J39/$K$22+$K$16*I39/$J$22+$L$16)</f>
        <v>0</v>
      </c>
      <c r="M39" s="294">
        <f>INDEX(AUXILIAR!I14:I289,'CÁLCULO REVISIÓN'!$B$27)</f>
        <v>42125</v>
      </c>
      <c r="N39" s="159"/>
      <c r="O39" s="159"/>
      <c r="P39" s="159"/>
      <c r="Q39" s="159"/>
      <c r="R39" s="159"/>
      <c r="S39" s="159"/>
    </row>
    <row r="40" spans="1:19" ht="12.75">
      <c r="A40" s="292">
        <f t="shared" si="0"/>
        <v>15</v>
      </c>
      <c r="B40" s="292">
        <f t="shared" si="1"/>
        <v>234</v>
      </c>
      <c r="C40" s="458">
        <f>IF($B40&gt;AUXILIAR!$A$39,0,INDEX(INDICES!$C$11:$K$313,'CÁLCULO REVISIÓN'!$B40,1))</f>
        <v>0</v>
      </c>
      <c r="D40" s="458">
        <f>IF($B40&gt;AUXILIAR!$A$39,0,INDEX(INDICES!$C$11:$K$313,'CÁLCULO REVISIÓN'!$B40,2))</f>
        <v>0</v>
      </c>
      <c r="E40" s="458">
        <f>IF($B40&gt;AUXILIAR!$A$39,0,INDEX(INDICES!$C$11:$K$313,'CÁLCULO REVISIÓN'!$B40,3))</f>
        <v>0</v>
      </c>
      <c r="F40" s="458">
        <f>IF($B40&gt;AUXILIAR!$A$39,0,INDEX(INDICES!$C$11:$K$313,'CÁLCULO REVISIÓN'!$B40,4))</f>
        <v>0</v>
      </c>
      <c r="G40" s="458">
        <f>IF($B40&gt;AUXILIAR!$A$39,0,INDEX(INDICES!$C$11:$K$313,'CÁLCULO REVISIÓN'!$B40,5))</f>
        <v>0</v>
      </c>
      <c r="H40" s="458">
        <f>IF($B40&gt;AUXILIAR!$A$39,0,INDEX(INDICES!$C$11:$K$313,'CÁLCULO REVISIÓN'!$B40,6))</f>
        <v>0</v>
      </c>
      <c r="I40" s="458">
        <f>IF($B40&gt;AUXILIAR!$A$39,0,INDEX(INDICES!$C$11:$K$313,'CÁLCULO REVISIÓN'!$B40,7))</f>
        <v>0</v>
      </c>
      <c r="J40" s="458">
        <f>IF($B40&gt;AUXILIAR!$A$39,0,INDEX(INDICES!$C$11:$K$313,'CÁLCULO REVISIÓN'!$B40,8))</f>
        <v>0</v>
      </c>
      <c r="K40" s="458">
        <f>IF($B40&gt;AUXILIAR!$A$39,0,INDEX(INDICES!$C$11:$K$313,'CÁLCULO REVISIÓN'!$B40,9))</f>
        <v>0</v>
      </c>
      <c r="L40" s="293">
        <f>IF(B40&gt;AUXILIAR!$A$39,0,$C$16*C40/$D$22+$D$16*H40/$I$22+$E$16*D40/$E$22+$F$16*G40/$H$22+$G$16*K40/$L$22+$H$16*E40/$F$22+$I$16*F40/$G$22+$J$16*J40/$K$22+$K$16*I40/$J$22+$L$16)</f>
        <v>0</v>
      </c>
      <c r="M40" s="294">
        <f>INDEX(AUXILIAR!I15:I290,'CÁLCULO REVISIÓN'!$B$27)</f>
        <v>42156</v>
      </c>
      <c r="N40" s="159"/>
      <c r="O40" s="159"/>
      <c r="P40" s="159"/>
      <c r="Q40" s="159"/>
      <c r="R40" s="159"/>
      <c r="S40" s="159"/>
    </row>
    <row r="41" spans="1:19" ht="12.75">
      <c r="A41" s="292">
        <f t="shared" si="0"/>
        <v>16</v>
      </c>
      <c r="B41" s="292">
        <f t="shared" si="1"/>
        <v>235</v>
      </c>
      <c r="C41" s="458">
        <f>IF($B41&gt;AUXILIAR!$A$39,0,INDEX(INDICES!$C$11:$K$313,'CÁLCULO REVISIÓN'!$B41,1))</f>
        <v>0</v>
      </c>
      <c r="D41" s="458">
        <f>IF($B41&gt;AUXILIAR!$A$39,0,INDEX(INDICES!$C$11:$K$313,'CÁLCULO REVISIÓN'!$B41,2))</f>
        <v>0</v>
      </c>
      <c r="E41" s="458">
        <f>IF($B41&gt;AUXILIAR!$A$39,0,INDEX(INDICES!$C$11:$K$313,'CÁLCULO REVISIÓN'!$B41,3))</f>
        <v>0</v>
      </c>
      <c r="F41" s="458">
        <f>IF($B41&gt;AUXILIAR!$A$39,0,INDEX(INDICES!$C$11:$K$313,'CÁLCULO REVISIÓN'!$B41,4))</f>
        <v>0</v>
      </c>
      <c r="G41" s="458">
        <f>IF($B41&gt;AUXILIAR!$A$39,0,INDEX(INDICES!$C$11:$K$313,'CÁLCULO REVISIÓN'!$B41,5))</f>
        <v>0</v>
      </c>
      <c r="H41" s="458">
        <f>IF($B41&gt;AUXILIAR!$A$39,0,INDEX(INDICES!$C$11:$K$313,'CÁLCULO REVISIÓN'!$B41,6))</f>
        <v>0</v>
      </c>
      <c r="I41" s="458">
        <f>IF($B41&gt;AUXILIAR!$A$39,0,INDEX(INDICES!$C$11:$K$313,'CÁLCULO REVISIÓN'!$B41,7))</f>
        <v>0</v>
      </c>
      <c r="J41" s="458">
        <f>IF($B41&gt;AUXILIAR!$A$39,0,INDEX(INDICES!$C$11:$K$313,'CÁLCULO REVISIÓN'!$B41,8))</f>
        <v>0</v>
      </c>
      <c r="K41" s="458">
        <f>IF($B41&gt;AUXILIAR!$A$39,0,INDEX(INDICES!$C$11:$K$313,'CÁLCULO REVISIÓN'!$B41,9))</f>
        <v>0</v>
      </c>
      <c r="L41" s="293">
        <f>IF(B41&gt;AUXILIAR!$A$39,0,$C$16*C41/$D$22+$D$16*H41/$I$22+$E$16*D41/$E$22+$F$16*G41/$H$22+$G$16*K41/$L$22+$H$16*E41/$F$22+$I$16*F41/$G$22+$J$16*J41/$K$22+$K$16*I41/$J$22+$L$16)</f>
        <v>0</v>
      </c>
      <c r="M41" s="294">
        <f>INDEX(AUXILIAR!I16:I291,'CÁLCULO REVISIÓN'!$B$27)</f>
        <v>42186</v>
      </c>
      <c r="N41" s="159"/>
      <c r="O41" s="159"/>
      <c r="P41" s="159"/>
      <c r="Q41" s="159"/>
      <c r="R41" s="159"/>
      <c r="S41" s="159"/>
    </row>
    <row r="42" spans="1:19" ht="12.75">
      <c r="A42" s="292">
        <f t="shared" si="0"/>
        <v>17</v>
      </c>
      <c r="B42" s="292">
        <f t="shared" si="1"/>
        <v>236</v>
      </c>
      <c r="C42" s="458">
        <f>IF($B42&gt;AUXILIAR!$A$39,0,INDEX(INDICES!$C$11:$K$313,'CÁLCULO REVISIÓN'!$B42,1))</f>
        <v>0</v>
      </c>
      <c r="D42" s="458">
        <f>IF($B42&gt;AUXILIAR!$A$39,0,INDEX(INDICES!$C$11:$K$313,'CÁLCULO REVISIÓN'!$B42,2))</f>
        <v>0</v>
      </c>
      <c r="E42" s="458">
        <f>IF($B42&gt;AUXILIAR!$A$39,0,INDEX(INDICES!$C$11:$K$313,'CÁLCULO REVISIÓN'!$B42,3))</f>
        <v>0</v>
      </c>
      <c r="F42" s="458">
        <f>IF($B42&gt;AUXILIAR!$A$39,0,INDEX(INDICES!$C$11:$K$313,'CÁLCULO REVISIÓN'!$B42,4))</f>
        <v>0</v>
      </c>
      <c r="G42" s="458">
        <f>IF($B42&gt;AUXILIAR!$A$39,0,INDEX(INDICES!$C$11:$K$313,'CÁLCULO REVISIÓN'!$B42,5))</f>
        <v>0</v>
      </c>
      <c r="H42" s="458">
        <f>IF($B42&gt;AUXILIAR!$A$39,0,INDEX(INDICES!$C$11:$K$313,'CÁLCULO REVISIÓN'!$B42,6))</f>
        <v>0</v>
      </c>
      <c r="I42" s="458">
        <f>IF($B42&gt;AUXILIAR!$A$39,0,INDEX(INDICES!$C$11:$K$313,'CÁLCULO REVISIÓN'!$B42,7))</f>
        <v>0</v>
      </c>
      <c r="J42" s="458">
        <f>IF($B42&gt;AUXILIAR!$A$39,0,INDEX(INDICES!$C$11:$K$313,'CÁLCULO REVISIÓN'!$B42,8))</f>
        <v>0</v>
      </c>
      <c r="K42" s="458">
        <f>IF($B42&gt;AUXILIAR!$A$39,0,INDEX(INDICES!$C$11:$K$313,'CÁLCULO REVISIÓN'!$B42,9))</f>
        <v>0</v>
      </c>
      <c r="L42" s="293">
        <f>IF(B42&gt;AUXILIAR!$A$39,0,$C$16*C42/$D$22+$D$16*H42/$I$22+$E$16*D42/$E$22+$F$16*G42/$H$22+$G$16*K42/$L$22+$H$16*E42/$F$22+$I$16*F42/$G$22+$J$16*J42/$K$22+$K$16*I42/$J$22+$L$16)</f>
        <v>0</v>
      </c>
      <c r="M42" s="294">
        <f>INDEX(AUXILIAR!I17:I292,'CÁLCULO REVISIÓN'!$B$27)</f>
        <v>42217</v>
      </c>
      <c r="N42" s="159"/>
      <c r="O42" s="159"/>
      <c r="P42" s="159"/>
      <c r="Q42" s="159"/>
      <c r="R42" s="159"/>
      <c r="S42" s="159"/>
    </row>
    <row r="43" spans="1:19" ht="12.75">
      <c r="A43" s="292">
        <f t="shared" si="0"/>
        <v>18</v>
      </c>
      <c r="B43" s="292">
        <f t="shared" si="1"/>
        <v>237</v>
      </c>
      <c r="C43" s="458">
        <f>IF($B43&gt;AUXILIAR!$A$39,0,INDEX(INDICES!$C$11:$K$313,'CÁLCULO REVISIÓN'!$B43,1))</f>
        <v>0</v>
      </c>
      <c r="D43" s="458">
        <f>IF($B43&gt;AUXILIAR!$A$39,0,INDEX(INDICES!$C$11:$K$313,'CÁLCULO REVISIÓN'!$B43,2))</f>
        <v>0</v>
      </c>
      <c r="E43" s="458">
        <f>IF($B43&gt;AUXILIAR!$A$39,0,INDEX(INDICES!$C$11:$K$313,'CÁLCULO REVISIÓN'!$B43,3))</f>
        <v>0</v>
      </c>
      <c r="F43" s="458">
        <f>IF($B43&gt;AUXILIAR!$A$39,0,INDEX(INDICES!$C$11:$K$313,'CÁLCULO REVISIÓN'!$B43,4))</f>
        <v>0</v>
      </c>
      <c r="G43" s="458">
        <f>IF($B43&gt;AUXILIAR!$A$39,0,INDEX(INDICES!$C$11:$K$313,'CÁLCULO REVISIÓN'!$B43,5))</f>
        <v>0</v>
      </c>
      <c r="H43" s="458">
        <f>IF($B43&gt;AUXILIAR!$A$39,0,INDEX(INDICES!$C$11:$K$313,'CÁLCULO REVISIÓN'!$B43,6))</f>
        <v>0</v>
      </c>
      <c r="I43" s="458">
        <f>IF($B43&gt;AUXILIAR!$A$39,0,INDEX(INDICES!$C$11:$K$313,'CÁLCULO REVISIÓN'!$B43,7))</f>
        <v>0</v>
      </c>
      <c r="J43" s="458">
        <f>IF($B43&gt;AUXILIAR!$A$39,0,INDEX(INDICES!$C$11:$K$313,'CÁLCULO REVISIÓN'!$B43,8))</f>
        <v>0</v>
      </c>
      <c r="K43" s="458">
        <f>IF($B43&gt;AUXILIAR!$A$39,0,INDEX(INDICES!$C$11:$K$313,'CÁLCULO REVISIÓN'!$B43,9))</f>
        <v>0</v>
      </c>
      <c r="L43" s="293">
        <f>IF(B43&gt;AUXILIAR!$A$39,0,$C$16*C43/$D$22+$D$16*H43/$I$22+$E$16*D43/$E$22+$F$16*G43/$H$22+$G$16*K43/$L$22+$H$16*E43/$F$22+$I$16*F43/$G$22+$J$16*J43/$K$22+$K$16*I43/$J$22+$L$16)</f>
        <v>0</v>
      </c>
      <c r="M43" s="294">
        <f>INDEX(AUXILIAR!I18:I293,'CÁLCULO REVISIÓN'!$B$27)</f>
        <v>42248</v>
      </c>
      <c r="N43" s="159"/>
      <c r="O43" s="159"/>
      <c r="P43" s="159"/>
      <c r="Q43" s="159"/>
      <c r="R43" s="159"/>
      <c r="S43" s="159"/>
    </row>
    <row r="44" spans="1:19" ht="12.75">
      <c r="A44" s="292">
        <f t="shared" si="0"/>
        <v>19</v>
      </c>
      <c r="B44" s="292">
        <f t="shared" si="1"/>
        <v>238</v>
      </c>
      <c r="C44" s="458">
        <f>IF($B44&gt;AUXILIAR!$A$39,0,INDEX(INDICES!$C$11:$K$313,'CÁLCULO REVISIÓN'!$B44,1))</f>
        <v>0</v>
      </c>
      <c r="D44" s="458">
        <f>IF($B44&gt;AUXILIAR!$A$39,0,INDEX(INDICES!$C$11:$K$313,'CÁLCULO REVISIÓN'!$B44,2))</f>
        <v>0</v>
      </c>
      <c r="E44" s="458">
        <f>IF($B44&gt;AUXILIAR!$A$39,0,INDEX(INDICES!$C$11:$K$313,'CÁLCULO REVISIÓN'!$B44,3))</f>
        <v>0</v>
      </c>
      <c r="F44" s="458">
        <f>IF($B44&gt;AUXILIAR!$A$39,0,INDEX(INDICES!$C$11:$K$313,'CÁLCULO REVISIÓN'!$B44,4))</f>
        <v>0</v>
      </c>
      <c r="G44" s="458">
        <f>IF($B44&gt;AUXILIAR!$A$39,0,INDEX(INDICES!$C$11:$K$313,'CÁLCULO REVISIÓN'!$B44,5))</f>
        <v>0</v>
      </c>
      <c r="H44" s="458">
        <f>IF($B44&gt;AUXILIAR!$A$39,0,INDEX(INDICES!$C$11:$K$313,'CÁLCULO REVISIÓN'!$B44,6))</f>
        <v>0</v>
      </c>
      <c r="I44" s="458">
        <f>IF($B44&gt;AUXILIAR!$A$39,0,INDEX(INDICES!$C$11:$K$313,'CÁLCULO REVISIÓN'!$B44,7))</f>
        <v>0</v>
      </c>
      <c r="J44" s="458">
        <f>IF($B44&gt;AUXILIAR!$A$39,0,INDEX(INDICES!$C$11:$K$313,'CÁLCULO REVISIÓN'!$B44,8))</f>
        <v>0</v>
      </c>
      <c r="K44" s="458">
        <f>IF($B44&gt;AUXILIAR!$A$39,0,INDEX(INDICES!$C$11:$K$313,'CÁLCULO REVISIÓN'!$B44,9))</f>
        <v>0</v>
      </c>
      <c r="L44" s="293">
        <f>IF(B44&gt;AUXILIAR!$A$39,0,$C$16*C44/$D$22+$D$16*H44/$I$22+$E$16*D44/$E$22+$F$16*G44/$H$22+$G$16*K44/$L$22+$H$16*E44/$F$22+$I$16*F44/$G$22+$J$16*J44/$K$22+$K$16*I44/$J$22+$L$16)</f>
        <v>0</v>
      </c>
      <c r="M44" s="294">
        <f>INDEX(AUXILIAR!I19:I294,'CÁLCULO REVISIÓN'!$B$27)</f>
        <v>42278</v>
      </c>
      <c r="N44" s="159"/>
      <c r="O44" s="159"/>
      <c r="P44" s="159"/>
      <c r="Q44" s="159"/>
      <c r="R44" s="159"/>
      <c r="S44" s="159"/>
    </row>
    <row r="45" spans="1:19" ht="12.75">
      <c r="A45" s="292">
        <f t="shared" si="0"/>
        <v>20</v>
      </c>
      <c r="B45" s="292">
        <f t="shared" si="1"/>
        <v>239</v>
      </c>
      <c r="C45" s="458">
        <f>IF($B45&gt;AUXILIAR!$A$39,0,INDEX(INDICES!$C$11:$K$313,'CÁLCULO REVISIÓN'!$B45,1))</f>
        <v>0</v>
      </c>
      <c r="D45" s="458">
        <f>IF($B45&gt;AUXILIAR!$A$39,0,INDEX(INDICES!$C$11:$K$313,'CÁLCULO REVISIÓN'!$B45,2))</f>
        <v>0</v>
      </c>
      <c r="E45" s="458">
        <f>IF($B45&gt;AUXILIAR!$A$39,0,INDEX(INDICES!$C$11:$K$313,'CÁLCULO REVISIÓN'!$B45,3))</f>
        <v>0</v>
      </c>
      <c r="F45" s="458">
        <f>IF($B45&gt;AUXILIAR!$A$39,0,INDEX(INDICES!$C$11:$K$313,'CÁLCULO REVISIÓN'!$B45,4))</f>
        <v>0</v>
      </c>
      <c r="G45" s="458">
        <f>IF($B45&gt;AUXILIAR!$A$39,0,INDEX(INDICES!$C$11:$K$313,'CÁLCULO REVISIÓN'!$B45,5))</f>
        <v>0</v>
      </c>
      <c r="H45" s="458">
        <f>IF($B45&gt;AUXILIAR!$A$39,0,INDEX(INDICES!$C$11:$K$313,'CÁLCULO REVISIÓN'!$B45,6))</f>
        <v>0</v>
      </c>
      <c r="I45" s="458">
        <f>IF($B45&gt;AUXILIAR!$A$39,0,INDEX(INDICES!$C$11:$K$313,'CÁLCULO REVISIÓN'!$B45,7))</f>
        <v>0</v>
      </c>
      <c r="J45" s="458">
        <f>IF($B45&gt;AUXILIAR!$A$39,0,INDEX(INDICES!$C$11:$K$313,'CÁLCULO REVISIÓN'!$B45,8))</f>
        <v>0</v>
      </c>
      <c r="K45" s="458">
        <f>IF($B45&gt;AUXILIAR!$A$39,0,INDEX(INDICES!$C$11:$K$313,'CÁLCULO REVISIÓN'!$B45,9))</f>
        <v>0</v>
      </c>
      <c r="L45" s="293">
        <f>IF(B45&gt;AUXILIAR!$A$39,0,$C$16*C45/$D$22+$D$16*H45/$I$22+$E$16*D45/$E$22+$F$16*G45/$H$22+$G$16*K45/$L$22+$H$16*E45/$F$22+$I$16*F45/$G$22+$J$16*J45/$K$22+$K$16*I45/$J$22+$L$16)</f>
        <v>0</v>
      </c>
      <c r="M45" s="294">
        <f>INDEX(AUXILIAR!I20:I295,'CÁLCULO REVISIÓN'!$B$27)</f>
        <v>42309</v>
      </c>
      <c r="N45" s="159"/>
      <c r="O45" s="159"/>
      <c r="P45" s="159"/>
      <c r="Q45" s="159"/>
      <c r="R45" s="159"/>
      <c r="S45" s="159"/>
    </row>
    <row r="46" spans="1:19" ht="12.75">
      <c r="A46" s="292">
        <f t="shared" si="0"/>
        <v>21</v>
      </c>
      <c r="B46" s="292">
        <f t="shared" si="1"/>
        <v>240</v>
      </c>
      <c r="C46" s="458">
        <f>IF($B46&gt;AUXILIAR!$A$39,0,INDEX(INDICES!$C$11:$K$313,'CÁLCULO REVISIÓN'!$B46,1))</f>
        <v>0</v>
      </c>
      <c r="D46" s="458">
        <f>IF($B46&gt;AUXILIAR!$A$39,0,INDEX(INDICES!$C$11:$K$313,'CÁLCULO REVISIÓN'!$B46,2))</f>
        <v>0</v>
      </c>
      <c r="E46" s="458">
        <f>IF($B46&gt;AUXILIAR!$A$39,0,INDEX(INDICES!$C$11:$K$313,'CÁLCULO REVISIÓN'!$B46,3))</f>
        <v>0</v>
      </c>
      <c r="F46" s="458">
        <f>IF($B46&gt;AUXILIAR!$A$39,0,INDEX(INDICES!$C$11:$K$313,'CÁLCULO REVISIÓN'!$B46,4))</f>
        <v>0</v>
      </c>
      <c r="G46" s="458">
        <f>IF($B46&gt;AUXILIAR!$A$39,0,INDEX(INDICES!$C$11:$K$313,'CÁLCULO REVISIÓN'!$B46,5))</f>
        <v>0</v>
      </c>
      <c r="H46" s="458">
        <f>IF($B46&gt;AUXILIAR!$A$39,0,INDEX(INDICES!$C$11:$K$313,'CÁLCULO REVISIÓN'!$B46,6))</f>
        <v>0</v>
      </c>
      <c r="I46" s="458">
        <f>IF($B46&gt;AUXILIAR!$A$39,0,INDEX(INDICES!$C$11:$K$313,'CÁLCULO REVISIÓN'!$B46,7))</f>
        <v>0</v>
      </c>
      <c r="J46" s="458">
        <f>IF($B46&gt;AUXILIAR!$A$39,0,INDEX(INDICES!$C$11:$K$313,'CÁLCULO REVISIÓN'!$B46,8))</f>
        <v>0</v>
      </c>
      <c r="K46" s="458">
        <f>IF($B46&gt;AUXILIAR!$A$39,0,INDEX(INDICES!$C$11:$K$313,'CÁLCULO REVISIÓN'!$B46,9))</f>
        <v>0</v>
      </c>
      <c r="L46" s="293">
        <f>IF(B46&gt;AUXILIAR!$A$39,0,$C$16*C46/$D$22+$D$16*H46/$I$22+$E$16*D46/$E$22+$F$16*G46/$H$22+$G$16*K46/$L$22+$H$16*E46/$F$22+$I$16*F46/$G$22+$J$16*J46/$K$22+$K$16*I46/$J$22+$L$16)</f>
        <v>0</v>
      </c>
      <c r="M46" s="294">
        <f>INDEX(AUXILIAR!I21:I296,'CÁLCULO REVISIÓN'!$B$27)</f>
        <v>42339</v>
      </c>
      <c r="N46" s="159"/>
      <c r="O46" s="159"/>
      <c r="P46" s="159"/>
      <c r="Q46" s="159"/>
      <c r="R46" s="159"/>
      <c r="S46" s="159"/>
    </row>
    <row r="47" spans="1:26" s="4" customFormat="1" ht="12.75">
      <c r="A47" s="292">
        <f t="shared" si="0"/>
        <v>22</v>
      </c>
      <c r="B47" s="292">
        <f t="shared" si="1"/>
        <v>241</v>
      </c>
      <c r="C47" s="458">
        <f>IF($B47&gt;AUXILIAR!$A$39,0,INDEX(INDICES!$C$11:$K$313,'CÁLCULO REVISIÓN'!$B47,1))</f>
        <v>0</v>
      </c>
      <c r="D47" s="458">
        <f>IF($B47&gt;AUXILIAR!$A$39,0,INDEX(INDICES!$C$11:$K$313,'CÁLCULO REVISIÓN'!$B47,2))</f>
        <v>0</v>
      </c>
      <c r="E47" s="458">
        <f>IF($B47&gt;AUXILIAR!$A$39,0,INDEX(INDICES!$C$11:$K$313,'CÁLCULO REVISIÓN'!$B47,3))</f>
        <v>0</v>
      </c>
      <c r="F47" s="458">
        <f>IF($B47&gt;AUXILIAR!$A$39,0,INDEX(INDICES!$C$11:$K$313,'CÁLCULO REVISIÓN'!$B47,4))</f>
        <v>0</v>
      </c>
      <c r="G47" s="458">
        <f>IF($B47&gt;AUXILIAR!$A$39,0,INDEX(INDICES!$C$11:$K$313,'CÁLCULO REVISIÓN'!$B47,5))</f>
        <v>0</v>
      </c>
      <c r="H47" s="458">
        <f>IF($B47&gt;AUXILIAR!$A$39,0,INDEX(INDICES!$C$11:$K$313,'CÁLCULO REVISIÓN'!$B47,6))</f>
        <v>0</v>
      </c>
      <c r="I47" s="458">
        <f>IF($B47&gt;AUXILIAR!$A$39,0,INDEX(INDICES!$C$11:$K$313,'CÁLCULO REVISIÓN'!$B47,7))</f>
        <v>0</v>
      </c>
      <c r="J47" s="458">
        <f>IF($B47&gt;AUXILIAR!$A$39,0,INDEX(INDICES!$C$11:$K$313,'CÁLCULO REVISIÓN'!$B47,8))</f>
        <v>0</v>
      </c>
      <c r="K47" s="458">
        <f>IF($B47&gt;AUXILIAR!$A$39,0,INDEX(INDICES!$C$11:$K$313,'CÁLCULO REVISIÓN'!$B47,9))</f>
        <v>0</v>
      </c>
      <c r="L47" s="293">
        <f>IF(B47&gt;AUXILIAR!$A$39,0,$C$16*C47/$D$22+$D$16*H47/$I$22+$E$16*D47/$E$22+$F$16*G47/$H$22+$G$16*K47/$L$22+$H$16*E47/$F$22+$I$16*F47/$G$22+$J$16*J47/$K$22+$K$16*I47/$J$22+$L$16)</f>
        <v>0</v>
      </c>
      <c r="M47" s="294">
        <f>INDEX(AUXILIAR!I22:I297,'CÁLCULO REVISIÓN'!$B$27)</f>
        <v>42370</v>
      </c>
      <c r="N47" s="159"/>
      <c r="O47" s="159"/>
      <c r="P47" s="159"/>
      <c r="Q47" s="159"/>
      <c r="R47" s="159"/>
      <c r="S47" s="159"/>
      <c r="Y47" s="47"/>
      <c r="Z47" s="47"/>
    </row>
    <row r="48" spans="1:26" s="4" customFormat="1" ht="12.75">
      <c r="A48" s="292">
        <f t="shared" si="0"/>
        <v>23</v>
      </c>
      <c r="B48" s="292">
        <f t="shared" si="1"/>
        <v>242</v>
      </c>
      <c r="C48" s="458">
        <f>IF($B48&gt;AUXILIAR!$A$39,0,INDEX(INDICES!$C$11:$K$313,'CÁLCULO REVISIÓN'!$B48,1))</f>
        <v>0</v>
      </c>
      <c r="D48" s="458">
        <f>IF($B48&gt;AUXILIAR!$A$39,0,INDEX(INDICES!$C$11:$K$313,'CÁLCULO REVISIÓN'!$B48,2))</f>
        <v>0</v>
      </c>
      <c r="E48" s="458">
        <f>IF($B48&gt;AUXILIAR!$A$39,0,INDEX(INDICES!$C$11:$K$313,'CÁLCULO REVISIÓN'!$B48,3))</f>
        <v>0</v>
      </c>
      <c r="F48" s="458">
        <f>IF($B48&gt;AUXILIAR!$A$39,0,INDEX(INDICES!$C$11:$K$313,'CÁLCULO REVISIÓN'!$B48,4))</f>
        <v>0</v>
      </c>
      <c r="G48" s="458">
        <f>IF($B48&gt;AUXILIAR!$A$39,0,INDEX(INDICES!$C$11:$K$313,'CÁLCULO REVISIÓN'!$B48,5))</f>
        <v>0</v>
      </c>
      <c r="H48" s="458">
        <f>IF($B48&gt;AUXILIAR!$A$39,0,INDEX(INDICES!$C$11:$K$313,'CÁLCULO REVISIÓN'!$B48,6))</f>
        <v>0</v>
      </c>
      <c r="I48" s="458">
        <f>IF($B48&gt;AUXILIAR!$A$39,0,INDEX(INDICES!$C$11:$K$313,'CÁLCULO REVISIÓN'!$B48,7))</f>
        <v>0</v>
      </c>
      <c r="J48" s="458">
        <f>IF($B48&gt;AUXILIAR!$A$39,0,INDEX(INDICES!$C$11:$K$313,'CÁLCULO REVISIÓN'!$B48,8))</f>
        <v>0</v>
      </c>
      <c r="K48" s="458">
        <f>IF($B48&gt;AUXILIAR!$A$39,0,INDEX(INDICES!$C$11:$K$313,'CÁLCULO REVISIÓN'!$B48,9))</f>
        <v>0</v>
      </c>
      <c r="L48" s="293">
        <f>IF(B48&gt;AUXILIAR!$A$39,0,$C$16*C48/$D$22+$D$16*H48/$I$22+$E$16*D48/$E$22+$F$16*G48/$H$22+$G$16*K48/$L$22+$H$16*E48/$F$22+$I$16*F48/$G$22+$J$16*J48/$K$22+$K$16*I48/$J$22+$L$16)</f>
        <v>0</v>
      </c>
      <c r="M48" s="294">
        <f>INDEX(AUXILIAR!I23:I313,'CÁLCULO REVISIÓN'!$B$27)</f>
        <v>42401</v>
      </c>
      <c r="N48" s="159"/>
      <c r="O48" s="159"/>
      <c r="P48" s="159"/>
      <c r="Q48" s="159"/>
      <c r="R48" s="159"/>
      <c r="S48" s="159"/>
      <c r="Y48" s="47"/>
      <c r="Z48" s="47"/>
    </row>
    <row r="49" spans="1:26" s="4" customFormat="1" ht="12.75">
      <c r="A49" s="292">
        <f t="shared" si="0"/>
        <v>24</v>
      </c>
      <c r="B49" s="292">
        <f t="shared" si="1"/>
        <v>243</v>
      </c>
      <c r="C49" s="458">
        <f>IF($B49&gt;AUXILIAR!$A$39,0,INDEX(INDICES!$C$11:$K$313,'CÁLCULO REVISIÓN'!$B49,1))</f>
        <v>0</v>
      </c>
      <c r="D49" s="458">
        <f>IF($B49&gt;AUXILIAR!$A$39,0,INDEX(INDICES!$C$11:$K$313,'CÁLCULO REVISIÓN'!$B49,2))</f>
        <v>0</v>
      </c>
      <c r="E49" s="458">
        <f>IF($B49&gt;AUXILIAR!$A$39,0,INDEX(INDICES!$C$11:$K$313,'CÁLCULO REVISIÓN'!$B49,3))</f>
        <v>0</v>
      </c>
      <c r="F49" s="458">
        <f>IF($B49&gt;AUXILIAR!$A$39,0,INDEX(INDICES!$C$11:$K$313,'CÁLCULO REVISIÓN'!$B49,4))</f>
        <v>0</v>
      </c>
      <c r="G49" s="458">
        <f>IF($B49&gt;AUXILIAR!$A$39,0,INDEX(INDICES!$C$11:$K$313,'CÁLCULO REVISIÓN'!$B49,5))</f>
        <v>0</v>
      </c>
      <c r="H49" s="458">
        <f>IF($B49&gt;AUXILIAR!$A$39,0,INDEX(INDICES!$C$11:$K$313,'CÁLCULO REVISIÓN'!$B49,6))</f>
        <v>0</v>
      </c>
      <c r="I49" s="458">
        <f>IF($B49&gt;AUXILIAR!$A$39,0,INDEX(INDICES!$C$11:$K$313,'CÁLCULO REVISIÓN'!$B49,7))</f>
        <v>0</v>
      </c>
      <c r="J49" s="458">
        <f>IF($B49&gt;AUXILIAR!$A$39,0,INDEX(INDICES!$C$11:$K$313,'CÁLCULO REVISIÓN'!$B49,8))</f>
        <v>0</v>
      </c>
      <c r="K49" s="458">
        <f>IF($B49&gt;AUXILIAR!$A$39,0,INDEX(INDICES!$C$11:$K$313,'CÁLCULO REVISIÓN'!$B49,9))</f>
        <v>0</v>
      </c>
      <c r="L49" s="293">
        <f>IF(B49&gt;AUXILIAR!$A$39,0,$C$16*C49/$D$22+$D$16*H49/$I$22+$E$16*D49/$E$22+$F$16*G49/$H$22+$G$16*K49/$L$22+$H$16*E49/$F$22+$I$16*F49/$G$22+$J$16*J49/$K$22+$K$16*I49/$J$22+$L$16)</f>
        <v>0</v>
      </c>
      <c r="M49" s="294">
        <f>INDEX(AUXILIAR!I24:I299,'CÁLCULO REVISIÓN'!$B$27)</f>
        <v>42430</v>
      </c>
      <c r="N49" s="159"/>
      <c r="O49" s="159"/>
      <c r="P49" s="159"/>
      <c r="Q49" s="159"/>
      <c r="R49" s="159"/>
      <c r="S49" s="159"/>
      <c r="Y49" s="47"/>
      <c r="Z49" s="47"/>
    </row>
    <row r="50" spans="1:26" s="4" customFormat="1" ht="12.75">
      <c r="A50" s="292">
        <f t="shared" si="0"/>
        <v>25</v>
      </c>
      <c r="B50" s="292">
        <f t="shared" si="1"/>
        <v>244</v>
      </c>
      <c r="C50" s="458">
        <f>IF($B50&gt;AUXILIAR!$A$39,0,INDEX(INDICES!$C$11:$K$313,'CÁLCULO REVISIÓN'!$B50,1))</f>
        <v>0</v>
      </c>
      <c r="D50" s="458">
        <f>IF($B50&gt;AUXILIAR!$A$39,0,INDEX(INDICES!$C$11:$K$313,'CÁLCULO REVISIÓN'!$B50,2))</f>
        <v>0</v>
      </c>
      <c r="E50" s="458">
        <f>IF($B50&gt;AUXILIAR!$A$39,0,INDEX(INDICES!$C$11:$K$313,'CÁLCULO REVISIÓN'!$B50,3))</f>
        <v>0</v>
      </c>
      <c r="F50" s="458">
        <f>IF($B50&gt;AUXILIAR!$A$39,0,INDEX(INDICES!$C$11:$K$313,'CÁLCULO REVISIÓN'!$B50,4))</f>
        <v>0</v>
      </c>
      <c r="G50" s="458">
        <f>IF($B50&gt;AUXILIAR!$A$39,0,INDEX(INDICES!$C$11:$K$313,'CÁLCULO REVISIÓN'!$B50,5))</f>
        <v>0</v>
      </c>
      <c r="H50" s="458">
        <f>IF($B50&gt;AUXILIAR!$A$39,0,INDEX(INDICES!$C$11:$K$313,'CÁLCULO REVISIÓN'!$B50,6))</f>
        <v>0</v>
      </c>
      <c r="I50" s="458">
        <f>IF($B50&gt;AUXILIAR!$A$39,0,INDEX(INDICES!$C$11:$K$313,'CÁLCULO REVISIÓN'!$B50,7))</f>
        <v>0</v>
      </c>
      <c r="J50" s="458">
        <f>IF($B50&gt;AUXILIAR!$A$39,0,INDEX(INDICES!$C$11:$K$313,'CÁLCULO REVISIÓN'!$B50,8))</f>
        <v>0</v>
      </c>
      <c r="K50" s="458">
        <f>IF($B50&gt;AUXILIAR!$A$39,0,INDEX(INDICES!$C$11:$K$313,'CÁLCULO REVISIÓN'!$B50,9))</f>
        <v>0</v>
      </c>
      <c r="L50" s="293">
        <f>IF(B50&gt;AUXILIAR!$A$39,0,$C$16*C50/$D$22+$D$16*H50/$I$22+$E$16*D50/$E$22+$F$16*G50/$H$22+$G$16*K50/$L$22+$H$16*E50/$F$22+$I$16*F50/$G$22+$J$16*J50/$K$22+$K$16*I50/$J$22+$L$16)</f>
        <v>0</v>
      </c>
      <c r="M50" s="294">
        <f>INDEX(AUXILIAR!I25:I300,'CÁLCULO REVISIÓN'!$B$27)</f>
        <v>42461</v>
      </c>
      <c r="N50" s="159"/>
      <c r="O50" s="159"/>
      <c r="P50" s="159"/>
      <c r="Q50" s="159"/>
      <c r="R50" s="159"/>
      <c r="S50" s="159"/>
      <c r="Z50" s="47"/>
    </row>
    <row r="51" spans="1:26" s="4" customFormat="1" ht="12.75">
      <c r="A51" s="292">
        <f t="shared" si="0"/>
        <v>26</v>
      </c>
      <c r="B51" s="292">
        <f t="shared" si="1"/>
        <v>245</v>
      </c>
      <c r="C51" s="458">
        <f>IF($B51&gt;AUXILIAR!$A$39,0,INDEX(INDICES!$C$11:$K$313,'CÁLCULO REVISIÓN'!$B51,1))</f>
        <v>0</v>
      </c>
      <c r="D51" s="458">
        <f>IF($B51&gt;AUXILIAR!$A$39,0,INDEX(INDICES!$C$11:$K$313,'CÁLCULO REVISIÓN'!$B51,2))</f>
        <v>0</v>
      </c>
      <c r="E51" s="458">
        <f>IF($B51&gt;AUXILIAR!$A$39,0,INDEX(INDICES!$C$11:$K$313,'CÁLCULO REVISIÓN'!$B51,3))</f>
        <v>0</v>
      </c>
      <c r="F51" s="458">
        <f>IF($B51&gt;AUXILIAR!$A$39,0,INDEX(INDICES!$C$11:$K$313,'CÁLCULO REVISIÓN'!$B51,4))</f>
        <v>0</v>
      </c>
      <c r="G51" s="458">
        <f>IF($B51&gt;AUXILIAR!$A$39,0,INDEX(INDICES!$C$11:$K$313,'CÁLCULO REVISIÓN'!$B51,5))</f>
        <v>0</v>
      </c>
      <c r="H51" s="458">
        <f>IF($B51&gt;AUXILIAR!$A$39,0,INDEX(INDICES!$C$11:$K$313,'CÁLCULO REVISIÓN'!$B51,6))</f>
        <v>0</v>
      </c>
      <c r="I51" s="458">
        <f>IF($B51&gt;AUXILIAR!$A$39,0,INDEX(INDICES!$C$11:$K$313,'CÁLCULO REVISIÓN'!$B51,7))</f>
        <v>0</v>
      </c>
      <c r="J51" s="458">
        <f>IF($B51&gt;AUXILIAR!$A$39,0,INDEX(INDICES!$C$11:$K$313,'CÁLCULO REVISIÓN'!$B51,8))</f>
        <v>0</v>
      </c>
      <c r="K51" s="458">
        <f>IF($B51&gt;AUXILIAR!$A$39,0,INDEX(INDICES!$C$11:$K$313,'CÁLCULO REVISIÓN'!$B51,9))</f>
        <v>0</v>
      </c>
      <c r="L51" s="293">
        <f>IF(B51&gt;AUXILIAR!$A$39,0,$C$16*C51/$D$22+$D$16*H51/$I$22+$E$16*D51/$E$22+$F$16*G51/$H$22+$G$16*K51/$L$22+$H$16*E51/$F$22+$I$16*F51/$G$22+$J$16*J51/$K$22+$K$16*I51/$J$22+$L$16)</f>
        <v>0</v>
      </c>
      <c r="M51" s="294">
        <f>INDEX(AUXILIAR!I26:I301,'CÁLCULO REVISIÓN'!$B$27)</f>
        <v>42491</v>
      </c>
      <c r="N51" s="159"/>
      <c r="O51" s="159"/>
      <c r="P51" s="159"/>
      <c r="Q51" s="159"/>
      <c r="R51" s="159"/>
      <c r="S51" s="159"/>
      <c r="Z51" s="47"/>
    </row>
    <row r="52" spans="1:26" s="4" customFormat="1" ht="12.75">
      <c r="A52" s="292">
        <f t="shared" si="0"/>
        <v>27</v>
      </c>
      <c r="B52" s="292">
        <f t="shared" si="1"/>
        <v>246</v>
      </c>
      <c r="C52" s="458">
        <f>IF($B52&gt;AUXILIAR!$A$39,0,INDEX(INDICES!$C$11:$K$313,'CÁLCULO REVISIÓN'!$B52,1))</f>
        <v>0</v>
      </c>
      <c r="D52" s="458">
        <f>IF($B52&gt;AUXILIAR!$A$39,0,INDEX(INDICES!$C$11:$K$313,'CÁLCULO REVISIÓN'!$B52,2))</f>
        <v>0</v>
      </c>
      <c r="E52" s="458">
        <f>IF($B52&gt;AUXILIAR!$A$39,0,INDEX(INDICES!$C$11:$K$313,'CÁLCULO REVISIÓN'!$B52,3))</f>
        <v>0</v>
      </c>
      <c r="F52" s="458">
        <f>IF($B52&gt;AUXILIAR!$A$39,0,INDEX(INDICES!$C$11:$K$313,'CÁLCULO REVISIÓN'!$B52,4))</f>
        <v>0</v>
      </c>
      <c r="G52" s="458">
        <f>IF($B52&gt;AUXILIAR!$A$39,0,INDEX(INDICES!$C$11:$K$313,'CÁLCULO REVISIÓN'!$B52,5))</f>
        <v>0</v>
      </c>
      <c r="H52" s="458">
        <f>IF($B52&gt;AUXILIAR!$A$39,0,INDEX(INDICES!$C$11:$K$313,'CÁLCULO REVISIÓN'!$B52,6))</f>
        <v>0</v>
      </c>
      <c r="I52" s="458">
        <f>IF($B52&gt;AUXILIAR!$A$39,0,INDEX(INDICES!$C$11:$K$313,'CÁLCULO REVISIÓN'!$B52,7))</f>
        <v>0</v>
      </c>
      <c r="J52" s="458">
        <f>IF($B52&gt;AUXILIAR!$A$39,0,INDEX(INDICES!$C$11:$K$313,'CÁLCULO REVISIÓN'!$B52,8))</f>
        <v>0</v>
      </c>
      <c r="K52" s="458">
        <f>IF($B52&gt;AUXILIAR!$A$39,0,INDEX(INDICES!$C$11:$K$313,'CÁLCULO REVISIÓN'!$B52,9))</f>
        <v>0</v>
      </c>
      <c r="L52" s="293">
        <f>IF(B52&gt;AUXILIAR!$A$39,0,$C$16*C52/$D$22+$D$16*H52/$I$22+$E$16*D52/$E$22+$F$16*G52/$H$22+$G$16*K52/$L$22+$H$16*E52/$F$22+$I$16*F52/$G$22+$J$16*J52/$K$22+$K$16*I52/$J$22+$L$16)</f>
        <v>0</v>
      </c>
      <c r="M52" s="294">
        <f>INDEX(AUXILIAR!I27:I302,'CÁLCULO REVISIÓN'!$B$27)</f>
        <v>42522</v>
      </c>
      <c r="N52" s="159"/>
      <c r="O52" s="159"/>
      <c r="P52" s="159"/>
      <c r="Q52" s="159"/>
      <c r="R52" s="159"/>
      <c r="S52" s="159"/>
      <c r="Z52" s="47"/>
    </row>
    <row r="53" spans="1:19" s="4" customFormat="1" ht="12.75">
      <c r="A53" s="292">
        <f t="shared" si="0"/>
        <v>28</v>
      </c>
      <c r="B53" s="292">
        <f t="shared" si="1"/>
        <v>247</v>
      </c>
      <c r="C53" s="458">
        <f>IF($B53&gt;AUXILIAR!$A$39,0,INDEX(INDICES!$C$11:$K$313,'CÁLCULO REVISIÓN'!$B53,1))</f>
        <v>0</v>
      </c>
      <c r="D53" s="458">
        <f>IF($B53&gt;AUXILIAR!$A$39,0,INDEX(INDICES!$C$11:$K$313,'CÁLCULO REVISIÓN'!$B53,2))</f>
        <v>0</v>
      </c>
      <c r="E53" s="458">
        <f>IF($B53&gt;AUXILIAR!$A$39,0,INDEX(INDICES!$C$11:$K$313,'CÁLCULO REVISIÓN'!$B53,3))</f>
        <v>0</v>
      </c>
      <c r="F53" s="458">
        <f>IF($B53&gt;AUXILIAR!$A$39,0,INDEX(INDICES!$C$11:$K$313,'CÁLCULO REVISIÓN'!$B53,4))</f>
        <v>0</v>
      </c>
      <c r="G53" s="458">
        <f>IF($B53&gt;AUXILIAR!$A$39,0,INDEX(INDICES!$C$11:$K$313,'CÁLCULO REVISIÓN'!$B53,5))</f>
        <v>0</v>
      </c>
      <c r="H53" s="458">
        <f>IF($B53&gt;AUXILIAR!$A$39,0,INDEX(INDICES!$C$11:$K$313,'CÁLCULO REVISIÓN'!$B53,6))</f>
        <v>0</v>
      </c>
      <c r="I53" s="458">
        <f>IF($B53&gt;AUXILIAR!$A$39,0,INDEX(INDICES!$C$11:$K$313,'CÁLCULO REVISIÓN'!$B53,7))</f>
        <v>0</v>
      </c>
      <c r="J53" s="458">
        <f>IF($B53&gt;AUXILIAR!$A$39,0,INDEX(INDICES!$C$11:$K$313,'CÁLCULO REVISIÓN'!$B53,8))</f>
        <v>0</v>
      </c>
      <c r="K53" s="458">
        <f>IF($B53&gt;AUXILIAR!$A$39,0,INDEX(INDICES!$C$11:$K$313,'CÁLCULO REVISIÓN'!$B53,9))</f>
        <v>0</v>
      </c>
      <c r="L53" s="293">
        <f>IF(B53&gt;AUXILIAR!$A$39,0,$C$16*C53/$D$22+$D$16*H53/$I$22+$E$16*D53/$E$22+$F$16*G53/$H$22+$G$16*K53/$L$22+$H$16*E53/$F$22+$I$16*F53/$G$22+$J$16*J53/$K$22+$K$16*I53/$J$22+$L$16)</f>
        <v>0</v>
      </c>
      <c r="M53" s="294">
        <f>INDEX(AUXILIAR!I28:I303,'CÁLCULO REVISIÓN'!$B$27)</f>
        <v>42552</v>
      </c>
      <c r="N53" s="159"/>
      <c r="O53" s="159"/>
      <c r="P53" s="159"/>
      <c r="Q53" s="159"/>
      <c r="R53" s="159"/>
      <c r="S53" s="159"/>
    </row>
    <row r="54" spans="1:19" s="4" customFormat="1" ht="12.75">
      <c r="A54" s="292">
        <f t="shared" si="0"/>
        <v>29</v>
      </c>
      <c r="B54" s="292">
        <f t="shared" si="1"/>
        <v>248</v>
      </c>
      <c r="C54" s="458">
        <f>IF($B54&gt;AUXILIAR!$A$39,0,INDEX(INDICES!$C$11:$K$313,'CÁLCULO REVISIÓN'!$B54,1))</f>
        <v>0</v>
      </c>
      <c r="D54" s="458">
        <f>IF($B54&gt;AUXILIAR!$A$39,0,INDEX(INDICES!$C$11:$K$313,'CÁLCULO REVISIÓN'!$B54,2))</f>
        <v>0</v>
      </c>
      <c r="E54" s="458">
        <f>IF($B54&gt;AUXILIAR!$A$39,0,INDEX(INDICES!$C$11:$K$313,'CÁLCULO REVISIÓN'!$B54,3))</f>
        <v>0</v>
      </c>
      <c r="F54" s="458">
        <f>IF($B54&gt;AUXILIAR!$A$39,0,INDEX(INDICES!$C$11:$K$313,'CÁLCULO REVISIÓN'!$B54,4))</f>
        <v>0</v>
      </c>
      <c r="G54" s="458">
        <f>IF($B54&gt;AUXILIAR!$A$39,0,INDEX(INDICES!$C$11:$K$313,'CÁLCULO REVISIÓN'!$B54,5))</f>
        <v>0</v>
      </c>
      <c r="H54" s="458">
        <f>IF($B54&gt;AUXILIAR!$A$39,0,INDEX(INDICES!$C$11:$K$313,'CÁLCULO REVISIÓN'!$B54,6))</f>
        <v>0</v>
      </c>
      <c r="I54" s="458">
        <f>IF($B54&gt;AUXILIAR!$A$39,0,INDEX(INDICES!$C$11:$K$313,'CÁLCULO REVISIÓN'!$B54,7))</f>
        <v>0</v>
      </c>
      <c r="J54" s="458">
        <f>IF($B54&gt;AUXILIAR!$A$39,0,INDEX(INDICES!$C$11:$K$313,'CÁLCULO REVISIÓN'!$B54,8))</f>
        <v>0</v>
      </c>
      <c r="K54" s="458">
        <f>IF($B54&gt;AUXILIAR!$A$39,0,INDEX(INDICES!$C$11:$K$313,'CÁLCULO REVISIÓN'!$B54,9))</f>
        <v>0</v>
      </c>
      <c r="L54" s="293">
        <f>IF(B54&gt;AUXILIAR!$A$39,0,$C$16*C54/$D$22+$D$16*H54/$I$22+$E$16*D54/$E$22+$F$16*G54/$H$22+$G$16*K54/$L$22+$H$16*E54/$F$22+$I$16*F54/$G$22+$J$16*J54/$K$22+$K$16*I54/$J$22+$L$16)</f>
        <v>0</v>
      </c>
      <c r="M54" s="294">
        <f>INDEX(AUXILIAR!I29:I304,'CÁLCULO REVISIÓN'!$B$27)</f>
        <v>42583</v>
      </c>
      <c r="N54" s="159"/>
      <c r="O54" s="159"/>
      <c r="P54" s="159"/>
      <c r="Q54" s="159"/>
      <c r="R54" s="159"/>
      <c r="S54" s="159"/>
    </row>
    <row r="55" spans="1:19" s="4" customFormat="1" ht="12.75">
      <c r="A55" s="292">
        <f t="shared" si="0"/>
        <v>30</v>
      </c>
      <c r="B55" s="292">
        <f t="shared" si="1"/>
        <v>249</v>
      </c>
      <c r="C55" s="458">
        <f>IF($B55&gt;AUXILIAR!$A$39,0,INDEX(INDICES!$C$11:$K$313,'CÁLCULO REVISIÓN'!$B55,1))</f>
        <v>0</v>
      </c>
      <c r="D55" s="458">
        <f>IF($B55&gt;AUXILIAR!$A$39,0,INDEX(INDICES!$C$11:$K$313,'CÁLCULO REVISIÓN'!$B55,2))</f>
        <v>0</v>
      </c>
      <c r="E55" s="458">
        <f>IF($B55&gt;AUXILIAR!$A$39,0,INDEX(INDICES!$C$11:$K$313,'CÁLCULO REVISIÓN'!$B55,3))</f>
        <v>0</v>
      </c>
      <c r="F55" s="458">
        <f>IF($B55&gt;AUXILIAR!$A$39,0,INDEX(INDICES!$C$11:$K$313,'CÁLCULO REVISIÓN'!$B55,4))</f>
        <v>0</v>
      </c>
      <c r="G55" s="458">
        <f>IF($B55&gt;AUXILIAR!$A$39,0,INDEX(INDICES!$C$11:$K$313,'CÁLCULO REVISIÓN'!$B55,5))</f>
        <v>0</v>
      </c>
      <c r="H55" s="458">
        <f>IF($B55&gt;AUXILIAR!$A$39,0,INDEX(INDICES!$C$11:$K$313,'CÁLCULO REVISIÓN'!$B55,6))</f>
        <v>0</v>
      </c>
      <c r="I55" s="458">
        <f>IF($B55&gt;AUXILIAR!$A$39,0,INDEX(INDICES!$C$11:$K$313,'CÁLCULO REVISIÓN'!$B55,7))</f>
        <v>0</v>
      </c>
      <c r="J55" s="458">
        <f>IF($B55&gt;AUXILIAR!$A$39,0,INDEX(INDICES!$C$11:$K$313,'CÁLCULO REVISIÓN'!$B55,8))</f>
        <v>0</v>
      </c>
      <c r="K55" s="458">
        <f>IF($B55&gt;AUXILIAR!$A$39,0,INDEX(INDICES!$C$11:$K$313,'CÁLCULO REVISIÓN'!$B55,9))</f>
        <v>0</v>
      </c>
      <c r="L55" s="293">
        <f>IF(B55&gt;AUXILIAR!$A$39,0,$C$16*C55/$D$22+$D$16*H55/$I$22+$E$16*D55/$E$22+$F$16*G55/$H$22+$G$16*K55/$L$22+$H$16*E55/$F$22+$I$16*F55/$G$22+$J$16*J55/$K$22+$K$16*I55/$J$22+$L$16)</f>
        <v>0</v>
      </c>
      <c r="M55" s="294">
        <f>INDEX(AUXILIAR!I30:I305,'CÁLCULO REVISIÓN'!$B$27)</f>
        <v>42614</v>
      </c>
      <c r="N55" s="159"/>
      <c r="O55" s="159"/>
      <c r="P55" s="159"/>
      <c r="Q55" s="159"/>
      <c r="R55" s="159"/>
      <c r="S55" s="159"/>
    </row>
    <row r="56" spans="1:19" s="4" customFormat="1" ht="12.75">
      <c r="A56" s="292">
        <f t="shared" si="0"/>
        <v>31</v>
      </c>
      <c r="B56" s="292">
        <f t="shared" si="1"/>
        <v>250</v>
      </c>
      <c r="C56" s="458">
        <f>IF($B56&gt;AUXILIAR!$A$39,0,INDEX(INDICES!$C$11:$K$313,'CÁLCULO REVISIÓN'!$B56,1))</f>
        <v>0</v>
      </c>
      <c r="D56" s="458">
        <f>IF($B56&gt;AUXILIAR!$A$39,0,INDEX(INDICES!$C$11:$K$313,'CÁLCULO REVISIÓN'!$B56,2))</f>
        <v>0</v>
      </c>
      <c r="E56" s="458">
        <f>IF($B56&gt;AUXILIAR!$A$39,0,INDEX(INDICES!$C$11:$K$313,'CÁLCULO REVISIÓN'!$B56,3))</f>
        <v>0</v>
      </c>
      <c r="F56" s="458">
        <f>IF($B56&gt;AUXILIAR!$A$39,0,INDEX(INDICES!$C$11:$K$313,'CÁLCULO REVISIÓN'!$B56,4))</f>
        <v>0</v>
      </c>
      <c r="G56" s="458">
        <f>IF($B56&gt;AUXILIAR!$A$39,0,INDEX(INDICES!$C$11:$K$313,'CÁLCULO REVISIÓN'!$B56,5))</f>
        <v>0</v>
      </c>
      <c r="H56" s="458">
        <f>IF($B56&gt;AUXILIAR!$A$39,0,INDEX(INDICES!$C$11:$K$313,'CÁLCULO REVISIÓN'!$B56,6))</f>
        <v>0</v>
      </c>
      <c r="I56" s="458">
        <f>IF($B56&gt;AUXILIAR!$A$39,0,INDEX(INDICES!$C$11:$K$313,'CÁLCULO REVISIÓN'!$B56,7))</f>
        <v>0</v>
      </c>
      <c r="J56" s="458">
        <f>IF($B56&gt;AUXILIAR!$A$39,0,INDEX(INDICES!$C$11:$K$313,'CÁLCULO REVISIÓN'!$B56,8))</f>
        <v>0</v>
      </c>
      <c r="K56" s="458">
        <f>IF($B56&gt;AUXILIAR!$A$39,0,INDEX(INDICES!$C$11:$K$313,'CÁLCULO REVISIÓN'!$B56,9))</f>
        <v>0</v>
      </c>
      <c r="L56" s="293">
        <f>IF(B56&gt;AUXILIAR!$A$39,0,$C$16*C56/$D$22+$D$16*H56/$I$22+$E$16*D56/$E$22+$F$16*G56/$H$22+$G$16*K56/$L$22+$H$16*E56/$F$22+$I$16*F56/$G$22+$J$16*J56/$K$22+$K$16*I56/$J$22+$L$16)</f>
        <v>0</v>
      </c>
      <c r="M56" s="294">
        <f>INDEX(AUXILIAR!I31:I306,'CÁLCULO REVISIÓN'!$B$27)</f>
        <v>42644</v>
      </c>
      <c r="N56" s="159"/>
      <c r="O56" s="159"/>
      <c r="P56" s="159"/>
      <c r="Q56" s="159"/>
      <c r="R56" s="159"/>
      <c r="S56" s="159"/>
    </row>
    <row r="57" spans="1:19" s="4" customFormat="1" ht="12.75">
      <c r="A57" s="292">
        <f t="shared" si="0"/>
        <v>32</v>
      </c>
      <c r="B57" s="292">
        <f t="shared" si="1"/>
        <v>251</v>
      </c>
      <c r="C57" s="458">
        <f>IF($B57&gt;AUXILIAR!$A$39,0,INDEX(INDICES!$C$11:$K$313,'CÁLCULO REVISIÓN'!$B57,1))</f>
        <v>0</v>
      </c>
      <c r="D57" s="458">
        <f>IF($B57&gt;AUXILIAR!$A$39,0,INDEX(INDICES!$C$11:$K$313,'CÁLCULO REVISIÓN'!$B57,2))</f>
        <v>0</v>
      </c>
      <c r="E57" s="458">
        <f>IF($B57&gt;AUXILIAR!$A$39,0,INDEX(INDICES!$C$11:$K$313,'CÁLCULO REVISIÓN'!$B57,3))</f>
        <v>0</v>
      </c>
      <c r="F57" s="458">
        <f>IF($B57&gt;AUXILIAR!$A$39,0,INDEX(INDICES!$C$11:$K$313,'CÁLCULO REVISIÓN'!$B57,4))</f>
        <v>0</v>
      </c>
      <c r="G57" s="458">
        <f>IF($B57&gt;AUXILIAR!$A$39,0,INDEX(INDICES!$C$11:$K$313,'CÁLCULO REVISIÓN'!$B57,5))</f>
        <v>0</v>
      </c>
      <c r="H57" s="458">
        <f>IF($B57&gt;AUXILIAR!$A$39,0,INDEX(INDICES!$C$11:$K$313,'CÁLCULO REVISIÓN'!$B57,6))</f>
        <v>0</v>
      </c>
      <c r="I57" s="458">
        <f>IF($B57&gt;AUXILIAR!$A$39,0,INDEX(INDICES!$C$11:$K$313,'CÁLCULO REVISIÓN'!$B57,7))</f>
        <v>0</v>
      </c>
      <c r="J57" s="458">
        <f>IF($B57&gt;AUXILIAR!$A$39,0,INDEX(INDICES!$C$11:$K$313,'CÁLCULO REVISIÓN'!$B57,8))</f>
        <v>0</v>
      </c>
      <c r="K57" s="458">
        <f>IF($B57&gt;AUXILIAR!$A$39,0,INDEX(INDICES!$C$11:$K$313,'CÁLCULO REVISIÓN'!$B57,9))</f>
        <v>0</v>
      </c>
      <c r="L57" s="293">
        <f>IF(B57&gt;AUXILIAR!$A$39,0,$C$16*C57/$D$22+$D$16*H57/$I$22+$E$16*D57/$E$22+$F$16*G57/$H$22+$G$16*K57/$L$22+$H$16*E57/$F$22+$I$16*F57/$G$22+$J$16*J57/$K$22+$K$16*I57/$J$22+$L$16)</f>
        <v>0</v>
      </c>
      <c r="M57" s="294">
        <f>INDEX(AUXILIAR!I32:I307,'CÁLCULO REVISIÓN'!$B$27)</f>
        <v>42675</v>
      </c>
      <c r="N57" s="159"/>
      <c r="O57" s="159"/>
      <c r="P57" s="159"/>
      <c r="Q57" s="159"/>
      <c r="R57" s="159"/>
      <c r="S57" s="159"/>
    </row>
    <row r="58" spans="1:19" s="4" customFormat="1" ht="12.75">
      <c r="A58" s="292">
        <f t="shared" si="0"/>
        <v>33</v>
      </c>
      <c r="B58" s="292">
        <f t="shared" si="1"/>
        <v>252</v>
      </c>
      <c r="C58" s="458">
        <f>IF($B58&gt;AUXILIAR!$A$39,0,INDEX(INDICES!$C$11:$K$313,'CÁLCULO REVISIÓN'!$B58,1))</f>
        <v>0</v>
      </c>
      <c r="D58" s="458">
        <f>IF($B58&gt;AUXILIAR!$A$39,0,INDEX(INDICES!$C$11:$K$313,'CÁLCULO REVISIÓN'!$B58,2))</f>
        <v>0</v>
      </c>
      <c r="E58" s="458">
        <f>IF($B58&gt;AUXILIAR!$A$39,0,INDEX(INDICES!$C$11:$K$313,'CÁLCULO REVISIÓN'!$B58,3))</f>
        <v>0</v>
      </c>
      <c r="F58" s="458">
        <f>IF($B58&gt;AUXILIAR!$A$39,0,INDEX(INDICES!$C$11:$K$313,'CÁLCULO REVISIÓN'!$B58,4))</f>
        <v>0</v>
      </c>
      <c r="G58" s="458">
        <f>IF($B58&gt;AUXILIAR!$A$39,0,INDEX(INDICES!$C$11:$K$313,'CÁLCULO REVISIÓN'!$B58,5))</f>
        <v>0</v>
      </c>
      <c r="H58" s="458">
        <f>IF($B58&gt;AUXILIAR!$A$39,0,INDEX(INDICES!$C$11:$K$313,'CÁLCULO REVISIÓN'!$B58,6))</f>
        <v>0</v>
      </c>
      <c r="I58" s="458">
        <f>IF($B58&gt;AUXILIAR!$A$39,0,INDEX(INDICES!$C$11:$K$313,'CÁLCULO REVISIÓN'!$B58,7))</f>
        <v>0</v>
      </c>
      <c r="J58" s="458">
        <f>IF($B58&gt;AUXILIAR!$A$39,0,INDEX(INDICES!$C$11:$K$313,'CÁLCULO REVISIÓN'!$B58,8))</f>
        <v>0</v>
      </c>
      <c r="K58" s="458">
        <f>IF($B58&gt;AUXILIAR!$A$39,0,INDEX(INDICES!$C$11:$K$313,'CÁLCULO REVISIÓN'!$B58,9))</f>
        <v>0</v>
      </c>
      <c r="L58" s="293">
        <f>IF(B58&gt;AUXILIAR!$A$39,0,$C$16*C58/$D$22+$D$16*H58/$I$22+$E$16*D58/$E$22+$F$16*G58/$H$22+$G$16*K58/$L$22+$H$16*E58/$F$22+$I$16*F58/$G$22+$J$16*J58/$K$22+$K$16*I58/$J$22+$L$16)</f>
        <v>0</v>
      </c>
      <c r="M58" s="294">
        <f>INDEX(AUXILIAR!I33:I308,'CÁLCULO REVISIÓN'!$B$27)</f>
        <v>42705</v>
      </c>
      <c r="N58" s="159"/>
      <c r="O58" s="159"/>
      <c r="P58" s="159"/>
      <c r="Q58" s="159"/>
      <c r="R58" s="159"/>
      <c r="S58" s="159"/>
    </row>
    <row r="59" spans="1:19" s="4" customFormat="1" ht="12.75">
      <c r="A59" s="292">
        <f t="shared" si="0"/>
        <v>34</v>
      </c>
      <c r="B59" s="292">
        <f t="shared" si="1"/>
        <v>253</v>
      </c>
      <c r="C59" s="458">
        <f>IF($B59&gt;AUXILIAR!$A$39,0,INDEX(INDICES!$C$11:$K$313,'CÁLCULO REVISIÓN'!$B59,1))</f>
        <v>0</v>
      </c>
      <c r="D59" s="458">
        <f>IF($B59&gt;AUXILIAR!$A$39,0,INDEX(INDICES!$C$11:$K$313,'CÁLCULO REVISIÓN'!$B59,2))</f>
        <v>0</v>
      </c>
      <c r="E59" s="458">
        <f>IF($B59&gt;AUXILIAR!$A$39,0,INDEX(INDICES!$C$11:$K$313,'CÁLCULO REVISIÓN'!$B59,3))</f>
        <v>0</v>
      </c>
      <c r="F59" s="458">
        <f>IF($B59&gt;AUXILIAR!$A$39,0,INDEX(INDICES!$C$11:$K$313,'CÁLCULO REVISIÓN'!$B59,4))</f>
        <v>0</v>
      </c>
      <c r="G59" s="458">
        <f>IF($B59&gt;AUXILIAR!$A$39,0,INDEX(INDICES!$C$11:$K$313,'CÁLCULO REVISIÓN'!$B59,5))</f>
        <v>0</v>
      </c>
      <c r="H59" s="458">
        <f>IF($B59&gt;AUXILIAR!$A$39,0,INDEX(INDICES!$C$11:$K$313,'CÁLCULO REVISIÓN'!$B59,6))</f>
        <v>0</v>
      </c>
      <c r="I59" s="458">
        <f>IF($B59&gt;AUXILIAR!$A$39,0,INDEX(INDICES!$C$11:$K$313,'CÁLCULO REVISIÓN'!$B59,7))</f>
        <v>0</v>
      </c>
      <c r="J59" s="458">
        <f>IF($B59&gt;AUXILIAR!$A$39,0,INDEX(INDICES!$C$11:$K$313,'CÁLCULO REVISIÓN'!$B59,8))</f>
        <v>0</v>
      </c>
      <c r="K59" s="458">
        <f>IF($B59&gt;AUXILIAR!$A$39,0,INDEX(INDICES!$C$11:$K$313,'CÁLCULO REVISIÓN'!$B59,9))</f>
        <v>0</v>
      </c>
      <c r="L59" s="293">
        <f>IF(B59&gt;AUXILIAR!$A$39,0,$C$16*C59/$D$22+$D$16*H59/$I$22+$E$16*D59/$E$22+$F$16*G59/$H$22+$G$16*K59/$L$22+$H$16*E59/$F$22+$I$16*F59/$G$22+$J$16*J59/$K$22+$K$16*I59/$J$22+$L$16)</f>
        <v>0</v>
      </c>
      <c r="M59" s="294">
        <f>INDEX(AUXILIAR!I34:I309,'CÁLCULO REVISIÓN'!$B$27)</f>
        <v>42736</v>
      </c>
      <c r="N59" s="159"/>
      <c r="O59" s="159"/>
      <c r="P59" s="159"/>
      <c r="Q59" s="159"/>
      <c r="R59" s="159"/>
      <c r="S59" s="159"/>
    </row>
    <row r="60" spans="1:19" s="4" customFormat="1" ht="12.75">
      <c r="A60" s="292">
        <f aca="true" t="shared" si="2" ref="A60:A76">1+A59</f>
        <v>35</v>
      </c>
      <c r="B60" s="292">
        <f aca="true" t="shared" si="3" ref="B60:B76">B59+1</f>
        <v>254</v>
      </c>
      <c r="C60" s="458">
        <f>IF($B60&gt;AUXILIAR!$A$39,0,INDEX(INDICES!$C$11:$K$313,'CÁLCULO REVISIÓN'!$B60,1))</f>
        <v>0</v>
      </c>
      <c r="D60" s="458">
        <f>IF($B60&gt;AUXILIAR!$A$39,0,INDEX(INDICES!$C$11:$K$313,'CÁLCULO REVISIÓN'!$B60,2))</f>
        <v>0</v>
      </c>
      <c r="E60" s="458">
        <f>IF($B60&gt;AUXILIAR!$A$39,0,INDEX(INDICES!$C$11:$K$313,'CÁLCULO REVISIÓN'!$B60,3))</f>
        <v>0</v>
      </c>
      <c r="F60" s="458">
        <f>IF($B60&gt;AUXILIAR!$A$39,0,INDEX(INDICES!$C$11:$K$313,'CÁLCULO REVISIÓN'!$B60,4))</f>
        <v>0</v>
      </c>
      <c r="G60" s="458">
        <f>IF($B60&gt;AUXILIAR!$A$39,0,INDEX(INDICES!$C$11:$K$313,'CÁLCULO REVISIÓN'!$B60,5))</f>
        <v>0</v>
      </c>
      <c r="H60" s="458">
        <f>IF($B60&gt;AUXILIAR!$A$39,0,INDEX(INDICES!$C$11:$K$313,'CÁLCULO REVISIÓN'!$B60,6))</f>
        <v>0</v>
      </c>
      <c r="I60" s="458">
        <f>IF($B60&gt;AUXILIAR!$A$39,0,INDEX(INDICES!$C$11:$K$313,'CÁLCULO REVISIÓN'!$B60,7))</f>
        <v>0</v>
      </c>
      <c r="J60" s="458">
        <f>IF($B60&gt;AUXILIAR!$A$39,0,INDEX(INDICES!$C$11:$K$313,'CÁLCULO REVISIÓN'!$B60,8))</f>
        <v>0</v>
      </c>
      <c r="K60" s="458">
        <f>IF($B60&gt;AUXILIAR!$A$39,0,INDEX(INDICES!$C$11:$K$313,'CÁLCULO REVISIÓN'!$B60,9))</f>
        <v>0</v>
      </c>
      <c r="L60" s="293">
        <f>IF(B60&gt;AUXILIAR!$A$39,0,$C$16*C60/$D$22+$D$16*H60/$I$22+$E$16*D60/$E$22+$F$16*G60/$H$22+$G$16*K60/$L$22+$H$16*E60/$F$22+$I$16*F60/$G$22+$J$16*J60/$K$22+$K$16*I60/$J$22+$L$16)</f>
        <v>0</v>
      </c>
      <c r="M60" s="294">
        <f>INDEX(AUXILIAR!I35:I310,'CÁLCULO REVISIÓN'!$B$27)</f>
        <v>42767</v>
      </c>
      <c r="N60" s="159"/>
      <c r="O60" s="159"/>
      <c r="P60" s="159"/>
      <c r="Q60" s="159"/>
      <c r="R60" s="159"/>
      <c r="S60" s="159"/>
    </row>
    <row r="61" spans="1:19" s="4" customFormat="1" ht="12.75">
      <c r="A61" s="292">
        <f t="shared" si="2"/>
        <v>36</v>
      </c>
      <c r="B61" s="292">
        <f t="shared" si="3"/>
        <v>255</v>
      </c>
      <c r="C61" s="458">
        <f>IF($B61&gt;AUXILIAR!$A$39,0,INDEX(INDICES!$C$11:$K$313,'CÁLCULO REVISIÓN'!$B61,1))</f>
        <v>0</v>
      </c>
      <c r="D61" s="458">
        <f>IF($B61&gt;AUXILIAR!$A$39,0,INDEX(INDICES!$C$11:$K$313,'CÁLCULO REVISIÓN'!$B61,2))</f>
        <v>0</v>
      </c>
      <c r="E61" s="458">
        <f>IF($B61&gt;AUXILIAR!$A$39,0,INDEX(INDICES!$C$11:$K$313,'CÁLCULO REVISIÓN'!$B61,3))</f>
        <v>0</v>
      </c>
      <c r="F61" s="458">
        <f>IF($B61&gt;AUXILIAR!$A$39,0,INDEX(INDICES!$C$11:$K$313,'CÁLCULO REVISIÓN'!$B61,4))</f>
        <v>0</v>
      </c>
      <c r="G61" s="458">
        <f>IF($B61&gt;AUXILIAR!$A$39,0,INDEX(INDICES!$C$11:$K$313,'CÁLCULO REVISIÓN'!$B61,5))</f>
        <v>0</v>
      </c>
      <c r="H61" s="458">
        <f>IF($B61&gt;AUXILIAR!$A$39,0,INDEX(INDICES!$C$11:$K$313,'CÁLCULO REVISIÓN'!$B61,6))</f>
        <v>0</v>
      </c>
      <c r="I61" s="458">
        <f>IF($B61&gt;AUXILIAR!$A$39,0,INDEX(INDICES!$C$11:$K$313,'CÁLCULO REVISIÓN'!$B61,7))</f>
        <v>0</v>
      </c>
      <c r="J61" s="458">
        <f>IF($B61&gt;AUXILIAR!$A$39,0,INDEX(INDICES!$C$11:$K$313,'CÁLCULO REVISIÓN'!$B61,8))</f>
        <v>0</v>
      </c>
      <c r="K61" s="458">
        <f>IF($B61&gt;AUXILIAR!$A$39,0,INDEX(INDICES!$C$11:$K$313,'CÁLCULO REVISIÓN'!$B61,9))</f>
        <v>0</v>
      </c>
      <c r="L61" s="293">
        <f>IF(B61&gt;AUXILIAR!$A$39,0,$C$16*C61/$D$22+$D$16*H61/$I$22+$E$16*D61/$E$22+$F$16*G61/$H$22+$G$16*K61/$L$22+$H$16*E61/$F$22+$I$16*F61/$G$22+$J$16*J61/$K$22+$K$16*I61/$J$22+$L$16)</f>
        <v>0</v>
      </c>
      <c r="M61" s="294">
        <f>INDEX(AUXILIAR!I36:I311,'CÁLCULO REVISIÓN'!$B$27)</f>
        <v>42795</v>
      </c>
      <c r="N61" s="159"/>
      <c r="O61" s="159"/>
      <c r="P61" s="159"/>
      <c r="Q61" s="159"/>
      <c r="R61" s="159"/>
      <c r="S61" s="159"/>
    </row>
    <row r="62" spans="1:19" s="4" customFormat="1" ht="12.75">
      <c r="A62" s="292">
        <f t="shared" si="2"/>
        <v>37</v>
      </c>
      <c r="B62" s="292">
        <f t="shared" si="3"/>
        <v>256</v>
      </c>
      <c r="C62" s="458">
        <f>IF($B62&gt;AUXILIAR!$A$39,0,INDEX(INDICES!$C$11:$K$313,'CÁLCULO REVISIÓN'!$B62,1))</f>
        <v>0</v>
      </c>
      <c r="D62" s="458">
        <f>IF($B62&gt;AUXILIAR!$A$39,0,INDEX(INDICES!$C$11:$K$313,'CÁLCULO REVISIÓN'!$B62,2))</f>
        <v>0</v>
      </c>
      <c r="E62" s="458">
        <f>IF($B62&gt;AUXILIAR!$A$39,0,INDEX(INDICES!$C$11:$K$313,'CÁLCULO REVISIÓN'!$B62,3))</f>
        <v>0</v>
      </c>
      <c r="F62" s="458">
        <f>IF($B62&gt;AUXILIAR!$A$39,0,INDEX(INDICES!$C$11:$K$313,'CÁLCULO REVISIÓN'!$B62,4))</f>
        <v>0</v>
      </c>
      <c r="G62" s="458">
        <f>IF($B62&gt;AUXILIAR!$A$39,0,INDEX(INDICES!$C$11:$K$313,'CÁLCULO REVISIÓN'!$B62,5))</f>
        <v>0</v>
      </c>
      <c r="H62" s="458">
        <f>IF($B62&gt;AUXILIAR!$A$39,0,INDEX(INDICES!$C$11:$K$313,'CÁLCULO REVISIÓN'!$B62,6))</f>
        <v>0</v>
      </c>
      <c r="I62" s="458">
        <f>IF($B62&gt;AUXILIAR!$A$39,0,INDEX(INDICES!$C$11:$K$313,'CÁLCULO REVISIÓN'!$B62,7))</f>
        <v>0</v>
      </c>
      <c r="J62" s="458">
        <f>IF($B62&gt;AUXILIAR!$A$39,0,INDEX(INDICES!$C$11:$K$313,'CÁLCULO REVISIÓN'!$B62,8))</f>
        <v>0</v>
      </c>
      <c r="K62" s="458">
        <f>IF($B62&gt;AUXILIAR!$A$39,0,INDEX(INDICES!$C$11:$K$313,'CÁLCULO REVISIÓN'!$B62,9))</f>
        <v>0</v>
      </c>
      <c r="L62" s="293">
        <f>IF(B62&gt;AUXILIAR!$A$39,0,$C$16*C62/$D$22+$D$16*H62/$I$22+$E$16*D62/$E$22+$F$16*G62/$H$22+$G$16*K62/$L$22+$H$16*E62/$F$22+$I$16*F62/$G$22+$J$16*J62/$K$22+$K$16*I62/$J$22+$L$16)</f>
        <v>0</v>
      </c>
      <c r="M62" s="294">
        <f>INDEX(AUXILIAR!I37:I312,'CÁLCULO REVISIÓN'!$B$27)</f>
        <v>42826</v>
      </c>
      <c r="N62" s="159"/>
      <c r="O62" s="159"/>
      <c r="P62" s="159"/>
      <c r="Q62" s="159"/>
      <c r="R62" s="159"/>
      <c r="S62" s="159"/>
    </row>
    <row r="63" spans="1:19" s="4" customFormat="1" ht="12.75">
      <c r="A63" s="292">
        <f t="shared" si="2"/>
        <v>38</v>
      </c>
      <c r="B63" s="292">
        <f t="shared" si="3"/>
        <v>257</v>
      </c>
      <c r="C63" s="458">
        <f>IF($B63&gt;AUXILIAR!$A$39,0,INDEX(INDICES!$C$11:$K$313,'CÁLCULO REVISIÓN'!$B63,1))</f>
        <v>0</v>
      </c>
      <c r="D63" s="458">
        <f>IF($B63&gt;AUXILIAR!$A$39,0,INDEX(INDICES!$C$11:$K$313,'CÁLCULO REVISIÓN'!$B63,2))</f>
        <v>0</v>
      </c>
      <c r="E63" s="458">
        <f>IF($B63&gt;AUXILIAR!$A$39,0,INDEX(INDICES!$C$11:$K$313,'CÁLCULO REVISIÓN'!$B63,3))</f>
        <v>0</v>
      </c>
      <c r="F63" s="458">
        <f>IF($B63&gt;AUXILIAR!$A$39,0,INDEX(INDICES!$C$11:$K$313,'CÁLCULO REVISIÓN'!$B63,4))</f>
        <v>0</v>
      </c>
      <c r="G63" s="458">
        <f>IF($B63&gt;AUXILIAR!$A$39,0,INDEX(INDICES!$C$11:$K$313,'CÁLCULO REVISIÓN'!$B63,5))</f>
        <v>0</v>
      </c>
      <c r="H63" s="458">
        <f>IF($B63&gt;AUXILIAR!$A$39,0,INDEX(INDICES!$C$11:$K$313,'CÁLCULO REVISIÓN'!$B63,6))</f>
        <v>0</v>
      </c>
      <c r="I63" s="458">
        <f>IF($B63&gt;AUXILIAR!$A$39,0,INDEX(INDICES!$C$11:$K$313,'CÁLCULO REVISIÓN'!$B63,7))</f>
        <v>0</v>
      </c>
      <c r="J63" s="458">
        <f>IF($B63&gt;AUXILIAR!$A$39,0,INDEX(INDICES!$C$11:$K$313,'CÁLCULO REVISIÓN'!$B63,8))</f>
        <v>0</v>
      </c>
      <c r="K63" s="458">
        <f>IF($B63&gt;AUXILIAR!$A$39,0,INDEX(INDICES!$C$11:$K$313,'CÁLCULO REVISIÓN'!$B63,9))</f>
        <v>0</v>
      </c>
      <c r="L63" s="293">
        <f>IF(B63&gt;AUXILIAR!$A$39,0,$C$16*C63/$D$22+$D$16*H63/$I$22+$E$16*D63/$E$22+$F$16*G63/$H$22+$G$16*K63/$L$22+$H$16*E63/$F$22+$I$16*F63/$G$22+$J$16*J63/$K$22+$K$16*I63/$J$22+$L$16)</f>
        <v>0</v>
      </c>
      <c r="M63" s="294">
        <f>INDEX(AUXILIAR!I38:I313,'CÁLCULO REVISIÓN'!$B$27)</f>
        <v>42856</v>
      </c>
      <c r="N63" s="159"/>
      <c r="O63" s="159"/>
      <c r="P63" s="159"/>
      <c r="Q63" s="159"/>
      <c r="R63" s="159"/>
      <c r="S63" s="159"/>
    </row>
    <row r="64" spans="1:19" s="4" customFormat="1" ht="12.75">
      <c r="A64" s="292">
        <f t="shared" si="2"/>
        <v>39</v>
      </c>
      <c r="B64" s="292">
        <f t="shared" si="3"/>
        <v>258</v>
      </c>
      <c r="C64" s="458">
        <f>IF($B64&gt;AUXILIAR!$A$39,0,INDEX(INDICES!$C$11:$K$313,'CÁLCULO REVISIÓN'!$B64,1))</f>
        <v>0</v>
      </c>
      <c r="D64" s="458">
        <f>IF($B64&gt;AUXILIAR!$A$39,0,INDEX(INDICES!$C$11:$K$313,'CÁLCULO REVISIÓN'!$B64,2))</f>
        <v>0</v>
      </c>
      <c r="E64" s="458">
        <f>IF($B64&gt;AUXILIAR!$A$39,0,INDEX(INDICES!$C$11:$K$313,'CÁLCULO REVISIÓN'!$B64,3))</f>
        <v>0</v>
      </c>
      <c r="F64" s="458">
        <f>IF($B64&gt;AUXILIAR!$A$39,0,INDEX(INDICES!$C$11:$K$313,'CÁLCULO REVISIÓN'!$B64,4))</f>
        <v>0</v>
      </c>
      <c r="G64" s="458">
        <f>IF($B64&gt;AUXILIAR!$A$39,0,INDEX(INDICES!$C$11:$K$313,'CÁLCULO REVISIÓN'!$B64,5))</f>
        <v>0</v>
      </c>
      <c r="H64" s="458">
        <f>IF($B64&gt;AUXILIAR!$A$39,0,INDEX(INDICES!$C$11:$K$313,'CÁLCULO REVISIÓN'!$B64,6))</f>
        <v>0</v>
      </c>
      <c r="I64" s="458">
        <f>IF($B64&gt;AUXILIAR!$A$39,0,INDEX(INDICES!$C$11:$K$313,'CÁLCULO REVISIÓN'!$B64,7))</f>
        <v>0</v>
      </c>
      <c r="J64" s="458">
        <f>IF($B64&gt;AUXILIAR!$A$39,0,INDEX(INDICES!$C$11:$K$313,'CÁLCULO REVISIÓN'!$B64,8))</f>
        <v>0</v>
      </c>
      <c r="K64" s="458">
        <f>IF($B64&gt;AUXILIAR!$A$39,0,INDEX(INDICES!$C$11:$K$313,'CÁLCULO REVISIÓN'!$B64,9))</f>
        <v>0</v>
      </c>
      <c r="L64" s="293">
        <f>IF(B64&gt;AUXILIAR!$A$39,0,$C$16*C64/$D$22+$D$16*H64/$I$22+$E$16*D64/$E$22+$F$16*G64/$H$22+$G$16*K64/$L$22+$H$16*E64/$F$22+$I$16*F64/$G$22+$J$16*J64/$K$22+$K$16*I64/$J$22+$L$16)</f>
        <v>0</v>
      </c>
      <c r="M64" s="294">
        <f>INDEX(AUXILIAR!I39:I314,'CÁLCULO REVISIÓN'!$B$27)</f>
        <v>42887</v>
      </c>
      <c r="N64" s="159"/>
      <c r="O64" s="159"/>
      <c r="P64" s="159"/>
      <c r="Q64" s="159"/>
      <c r="R64" s="159"/>
      <c r="S64" s="159"/>
    </row>
    <row r="65" spans="1:19" s="4" customFormat="1" ht="12.75">
      <c r="A65" s="292">
        <f t="shared" si="2"/>
        <v>40</v>
      </c>
      <c r="B65" s="292">
        <f t="shared" si="3"/>
        <v>259</v>
      </c>
      <c r="C65" s="458">
        <f>IF($B65&gt;AUXILIAR!$A$39,0,INDEX(INDICES!$C$11:$K$313,'CÁLCULO REVISIÓN'!$B65,1))</f>
        <v>0</v>
      </c>
      <c r="D65" s="458">
        <f>IF($B65&gt;AUXILIAR!$A$39,0,INDEX(INDICES!$C$11:$K$313,'CÁLCULO REVISIÓN'!$B65,2))</f>
        <v>0</v>
      </c>
      <c r="E65" s="458">
        <f>IF($B65&gt;AUXILIAR!$A$39,0,INDEX(INDICES!$C$11:$K$313,'CÁLCULO REVISIÓN'!$B65,3))</f>
        <v>0</v>
      </c>
      <c r="F65" s="458">
        <f>IF($B65&gt;AUXILIAR!$A$39,0,INDEX(INDICES!$C$11:$K$313,'CÁLCULO REVISIÓN'!$B65,4))</f>
        <v>0</v>
      </c>
      <c r="G65" s="458">
        <f>IF($B65&gt;AUXILIAR!$A$39,0,INDEX(INDICES!$C$11:$K$313,'CÁLCULO REVISIÓN'!$B65,5))</f>
        <v>0</v>
      </c>
      <c r="H65" s="458">
        <f>IF($B65&gt;AUXILIAR!$A$39,0,INDEX(INDICES!$C$11:$K$313,'CÁLCULO REVISIÓN'!$B65,6))</f>
        <v>0</v>
      </c>
      <c r="I65" s="458">
        <f>IF($B65&gt;AUXILIAR!$A$39,0,INDEX(INDICES!$C$11:$K$313,'CÁLCULO REVISIÓN'!$B65,7))</f>
        <v>0</v>
      </c>
      <c r="J65" s="458">
        <f>IF($B65&gt;AUXILIAR!$A$39,0,INDEX(INDICES!$C$11:$K$313,'CÁLCULO REVISIÓN'!$B65,8))</f>
        <v>0</v>
      </c>
      <c r="K65" s="458">
        <f>IF($B65&gt;AUXILIAR!$A$39,0,INDEX(INDICES!$C$11:$K$313,'CÁLCULO REVISIÓN'!$B65,9))</f>
        <v>0</v>
      </c>
      <c r="L65" s="293">
        <f>IF(B65&gt;AUXILIAR!$A$39,0,$C$16*C65/$D$22+$D$16*H65/$I$22+$E$16*D65/$E$22+$F$16*G65/$H$22+$G$16*K65/$L$22+$H$16*E65/$F$22+$I$16*F65/$G$22+$J$16*J65/$K$22+$K$16*I65/$J$22+$L$16)</f>
        <v>0</v>
      </c>
      <c r="M65" s="294">
        <f>INDEX(AUXILIAR!I40:I315,'CÁLCULO REVISIÓN'!$B$27)</f>
        <v>42917</v>
      </c>
      <c r="N65" s="159"/>
      <c r="O65" s="159"/>
      <c r="P65" s="159"/>
      <c r="Q65" s="159"/>
      <c r="R65" s="159"/>
      <c r="S65" s="159"/>
    </row>
    <row r="66" spans="1:19" s="4" customFormat="1" ht="12.75">
      <c r="A66" s="292">
        <f t="shared" si="2"/>
        <v>41</v>
      </c>
      <c r="B66" s="292">
        <f t="shared" si="3"/>
        <v>260</v>
      </c>
      <c r="C66" s="458">
        <f>IF($B66&gt;AUXILIAR!$A$39,0,INDEX(INDICES!$C$11:$K$313,'CÁLCULO REVISIÓN'!$B66,1))</f>
        <v>0</v>
      </c>
      <c r="D66" s="458">
        <f>IF($B66&gt;AUXILIAR!$A$39,0,INDEX(INDICES!$C$11:$K$313,'CÁLCULO REVISIÓN'!$B66,2))</f>
        <v>0</v>
      </c>
      <c r="E66" s="458">
        <f>IF($B66&gt;AUXILIAR!$A$39,0,INDEX(INDICES!$C$11:$K$313,'CÁLCULO REVISIÓN'!$B66,3))</f>
        <v>0</v>
      </c>
      <c r="F66" s="458">
        <f>IF($B66&gt;AUXILIAR!$A$39,0,INDEX(INDICES!$C$11:$K$313,'CÁLCULO REVISIÓN'!$B66,4))</f>
        <v>0</v>
      </c>
      <c r="G66" s="458">
        <f>IF($B66&gt;AUXILIAR!$A$39,0,INDEX(INDICES!$C$11:$K$313,'CÁLCULO REVISIÓN'!$B66,5))</f>
        <v>0</v>
      </c>
      <c r="H66" s="458">
        <f>IF($B66&gt;AUXILIAR!$A$39,0,INDEX(INDICES!$C$11:$K$313,'CÁLCULO REVISIÓN'!$B66,6))</f>
        <v>0</v>
      </c>
      <c r="I66" s="458">
        <f>IF($B66&gt;AUXILIAR!$A$39,0,INDEX(INDICES!$C$11:$K$313,'CÁLCULO REVISIÓN'!$B66,7))</f>
        <v>0</v>
      </c>
      <c r="J66" s="458">
        <f>IF($B66&gt;AUXILIAR!$A$39,0,INDEX(INDICES!$C$11:$K$313,'CÁLCULO REVISIÓN'!$B66,8))</f>
        <v>0</v>
      </c>
      <c r="K66" s="458">
        <f>IF($B66&gt;AUXILIAR!$A$39,0,INDEX(INDICES!$C$11:$K$313,'CÁLCULO REVISIÓN'!$B66,9))</f>
        <v>0</v>
      </c>
      <c r="L66" s="293">
        <f>IF(B66&gt;AUXILIAR!$A$39,0,$C$16*C66/$D$22+$D$16*H66/$I$22+$E$16*D66/$E$22+$F$16*G66/$H$22+$G$16*K66/$L$22+$H$16*E66/$F$22+$I$16*F66/$G$22+$J$16*J66/$K$22+$K$16*I66/$J$22+$L$16)</f>
        <v>0</v>
      </c>
      <c r="M66" s="294">
        <f>INDEX(AUXILIAR!I41:I316,'CÁLCULO REVISIÓN'!$B$27)</f>
        <v>42948</v>
      </c>
      <c r="N66" s="159"/>
      <c r="O66" s="159"/>
      <c r="P66" s="159"/>
      <c r="Q66" s="159"/>
      <c r="R66" s="159"/>
      <c r="S66" s="159"/>
    </row>
    <row r="67" spans="1:19" s="4" customFormat="1" ht="12.75">
      <c r="A67" s="292">
        <f t="shared" si="2"/>
        <v>42</v>
      </c>
      <c r="B67" s="292">
        <f t="shared" si="3"/>
        <v>261</v>
      </c>
      <c r="C67" s="458">
        <f>IF($B67&gt;AUXILIAR!$A$39,0,INDEX(INDICES!$C$11:$K$313,'CÁLCULO REVISIÓN'!$B67,1))</f>
        <v>0</v>
      </c>
      <c r="D67" s="458">
        <f>IF($B67&gt;AUXILIAR!$A$39,0,INDEX(INDICES!$C$11:$K$313,'CÁLCULO REVISIÓN'!$B67,2))</f>
        <v>0</v>
      </c>
      <c r="E67" s="458">
        <f>IF($B67&gt;AUXILIAR!$A$39,0,INDEX(INDICES!$C$11:$K$313,'CÁLCULO REVISIÓN'!$B67,3))</f>
        <v>0</v>
      </c>
      <c r="F67" s="458">
        <f>IF($B67&gt;AUXILIAR!$A$39,0,INDEX(INDICES!$C$11:$K$313,'CÁLCULO REVISIÓN'!$B67,4))</f>
        <v>0</v>
      </c>
      <c r="G67" s="458">
        <f>IF($B67&gt;AUXILIAR!$A$39,0,INDEX(INDICES!$C$11:$K$313,'CÁLCULO REVISIÓN'!$B67,5))</f>
        <v>0</v>
      </c>
      <c r="H67" s="458">
        <f>IF($B67&gt;AUXILIAR!$A$39,0,INDEX(INDICES!$C$11:$K$313,'CÁLCULO REVISIÓN'!$B67,6))</f>
        <v>0</v>
      </c>
      <c r="I67" s="458">
        <f>IF($B67&gt;AUXILIAR!$A$39,0,INDEX(INDICES!$C$11:$K$313,'CÁLCULO REVISIÓN'!$B67,7))</f>
        <v>0</v>
      </c>
      <c r="J67" s="458">
        <f>IF($B67&gt;AUXILIAR!$A$39,0,INDEX(INDICES!$C$11:$K$313,'CÁLCULO REVISIÓN'!$B67,8))</f>
        <v>0</v>
      </c>
      <c r="K67" s="458">
        <f>IF($B67&gt;AUXILIAR!$A$39,0,INDEX(INDICES!$C$11:$K$313,'CÁLCULO REVISIÓN'!$B67,9))</f>
        <v>0</v>
      </c>
      <c r="L67" s="293">
        <f>IF(B67&gt;AUXILIAR!$A$39,0,$C$16*C67/$D$22+$D$16*H67/$I$22+$E$16*D67/$E$22+$F$16*G67/$H$22+$G$16*K67/$L$22+$H$16*E67/$F$22+$I$16*F67/$G$22+$J$16*J67/$K$22+$K$16*I67/$J$22+$L$16)</f>
        <v>0</v>
      </c>
      <c r="M67" s="294">
        <f>INDEX(AUXILIAR!I42:I317,'CÁLCULO REVISIÓN'!$B$27)</f>
        <v>42979</v>
      </c>
      <c r="N67" s="159"/>
      <c r="O67" s="159"/>
      <c r="P67" s="159"/>
      <c r="Q67" s="159"/>
      <c r="R67" s="159"/>
      <c r="S67" s="159"/>
    </row>
    <row r="68" spans="1:19" s="4" customFormat="1" ht="12.75">
      <c r="A68" s="292">
        <f t="shared" si="2"/>
        <v>43</v>
      </c>
      <c r="B68" s="292">
        <f t="shared" si="3"/>
        <v>262</v>
      </c>
      <c r="C68" s="458">
        <f>IF($B68&gt;AUXILIAR!$A$39,0,INDEX(INDICES!$C$11:$K$313,'CÁLCULO REVISIÓN'!$B68,1))</f>
        <v>0</v>
      </c>
      <c r="D68" s="458">
        <f>IF($B68&gt;AUXILIAR!$A$39,0,INDEX(INDICES!$C$11:$K$313,'CÁLCULO REVISIÓN'!$B68,2))</f>
        <v>0</v>
      </c>
      <c r="E68" s="458">
        <f>IF($B68&gt;AUXILIAR!$A$39,0,INDEX(INDICES!$C$11:$K$313,'CÁLCULO REVISIÓN'!$B68,3))</f>
        <v>0</v>
      </c>
      <c r="F68" s="458">
        <f>IF($B68&gt;AUXILIAR!$A$39,0,INDEX(INDICES!$C$11:$K$313,'CÁLCULO REVISIÓN'!$B68,4))</f>
        <v>0</v>
      </c>
      <c r="G68" s="458">
        <f>IF($B68&gt;AUXILIAR!$A$39,0,INDEX(INDICES!$C$11:$K$313,'CÁLCULO REVISIÓN'!$B68,5))</f>
        <v>0</v>
      </c>
      <c r="H68" s="458">
        <f>IF($B68&gt;AUXILIAR!$A$39,0,INDEX(INDICES!$C$11:$K$313,'CÁLCULO REVISIÓN'!$B68,6))</f>
        <v>0</v>
      </c>
      <c r="I68" s="458">
        <f>IF($B68&gt;AUXILIAR!$A$39,0,INDEX(INDICES!$C$11:$K$313,'CÁLCULO REVISIÓN'!$B68,7))</f>
        <v>0</v>
      </c>
      <c r="J68" s="458">
        <f>IF($B68&gt;AUXILIAR!$A$39,0,INDEX(INDICES!$C$11:$K$313,'CÁLCULO REVISIÓN'!$B68,8))</f>
        <v>0</v>
      </c>
      <c r="K68" s="458">
        <f>IF($B68&gt;AUXILIAR!$A$39,0,INDEX(INDICES!$C$11:$K$313,'CÁLCULO REVISIÓN'!$B68,9))</f>
        <v>0</v>
      </c>
      <c r="L68" s="293">
        <f>IF(B68&gt;AUXILIAR!$A$39,0,$C$16*C68/$D$22+$D$16*H68/$I$22+$E$16*D68/$E$22+$F$16*G68/$H$22+$G$16*K68/$L$22+$H$16*E68/$F$22+$I$16*F68/$G$22+$J$16*J68/$K$22+$K$16*I68/$J$22+$L$16)</f>
        <v>0</v>
      </c>
      <c r="M68" s="294">
        <f>INDEX(AUXILIAR!I43:I318,'CÁLCULO REVISIÓN'!$B$27)</f>
        <v>43009</v>
      </c>
      <c r="N68" s="159"/>
      <c r="O68" s="159"/>
      <c r="P68" s="159"/>
      <c r="Q68" s="159"/>
      <c r="R68" s="159"/>
      <c r="S68" s="159"/>
    </row>
    <row r="69" spans="1:19" s="4" customFormat="1" ht="12.75">
      <c r="A69" s="292">
        <f t="shared" si="2"/>
        <v>44</v>
      </c>
      <c r="B69" s="292">
        <f t="shared" si="3"/>
        <v>263</v>
      </c>
      <c r="C69" s="458">
        <f>IF($B69&gt;AUXILIAR!$A$39,0,INDEX(INDICES!$C$11:$K$313,'CÁLCULO REVISIÓN'!$B69,1))</f>
        <v>0</v>
      </c>
      <c r="D69" s="458">
        <f>IF($B69&gt;AUXILIAR!$A$39,0,INDEX(INDICES!$C$11:$K$313,'CÁLCULO REVISIÓN'!$B69,2))</f>
        <v>0</v>
      </c>
      <c r="E69" s="458">
        <f>IF($B69&gt;AUXILIAR!$A$39,0,INDEX(INDICES!$C$11:$K$313,'CÁLCULO REVISIÓN'!$B69,3))</f>
        <v>0</v>
      </c>
      <c r="F69" s="458">
        <f>IF($B69&gt;AUXILIAR!$A$39,0,INDEX(INDICES!$C$11:$K$313,'CÁLCULO REVISIÓN'!$B69,4))</f>
        <v>0</v>
      </c>
      <c r="G69" s="458">
        <f>IF($B69&gt;AUXILIAR!$A$39,0,INDEX(INDICES!$C$11:$K$313,'CÁLCULO REVISIÓN'!$B69,5))</f>
        <v>0</v>
      </c>
      <c r="H69" s="458">
        <f>IF($B69&gt;AUXILIAR!$A$39,0,INDEX(INDICES!$C$11:$K$313,'CÁLCULO REVISIÓN'!$B69,6))</f>
        <v>0</v>
      </c>
      <c r="I69" s="458">
        <f>IF($B69&gt;AUXILIAR!$A$39,0,INDEX(INDICES!$C$11:$K$313,'CÁLCULO REVISIÓN'!$B69,7))</f>
        <v>0</v>
      </c>
      <c r="J69" s="458">
        <f>IF($B69&gt;AUXILIAR!$A$39,0,INDEX(INDICES!$C$11:$K$313,'CÁLCULO REVISIÓN'!$B69,8))</f>
        <v>0</v>
      </c>
      <c r="K69" s="458">
        <f>IF($B69&gt;AUXILIAR!$A$39,0,INDEX(INDICES!$C$11:$K$313,'CÁLCULO REVISIÓN'!$B69,9))</f>
        <v>0</v>
      </c>
      <c r="L69" s="293">
        <f>IF(B69&gt;AUXILIAR!$A$39,0,$C$16*C69/$D$22+$D$16*H69/$I$22+$E$16*D69/$E$22+$F$16*G69/$H$22+$G$16*K69/$L$22+$H$16*E69/$F$22+$I$16*F69/$G$22+$J$16*J69/$K$22+$K$16*I69/$J$22+$L$16)</f>
        <v>0</v>
      </c>
      <c r="M69" s="294">
        <f>INDEX(AUXILIAR!I44:I319,'CÁLCULO REVISIÓN'!$B$27)</f>
        <v>43040</v>
      </c>
      <c r="N69" s="159"/>
      <c r="O69" s="159"/>
      <c r="P69" s="159"/>
      <c r="Q69" s="159"/>
      <c r="R69" s="159"/>
      <c r="S69" s="159"/>
    </row>
    <row r="70" spans="1:19" s="4" customFormat="1" ht="12.75">
      <c r="A70" s="292">
        <f t="shared" si="2"/>
        <v>45</v>
      </c>
      <c r="B70" s="292">
        <f t="shared" si="3"/>
        <v>264</v>
      </c>
      <c r="C70" s="458">
        <f>IF($B70&gt;AUXILIAR!$A$39,0,INDEX(INDICES!$C$11:$K$313,'CÁLCULO REVISIÓN'!$B70,1))</f>
        <v>0</v>
      </c>
      <c r="D70" s="458">
        <f>IF($B70&gt;AUXILIAR!$A$39,0,INDEX(INDICES!$C$11:$K$313,'CÁLCULO REVISIÓN'!$B70,2))</f>
        <v>0</v>
      </c>
      <c r="E70" s="458">
        <f>IF($B70&gt;AUXILIAR!$A$39,0,INDEX(INDICES!$C$11:$K$313,'CÁLCULO REVISIÓN'!$B70,3))</f>
        <v>0</v>
      </c>
      <c r="F70" s="458">
        <f>IF($B70&gt;AUXILIAR!$A$39,0,INDEX(INDICES!$C$11:$K$313,'CÁLCULO REVISIÓN'!$B70,4))</f>
        <v>0</v>
      </c>
      <c r="G70" s="458">
        <f>IF($B70&gt;AUXILIAR!$A$39,0,INDEX(INDICES!$C$11:$K$313,'CÁLCULO REVISIÓN'!$B70,5))</f>
        <v>0</v>
      </c>
      <c r="H70" s="458">
        <f>IF($B70&gt;AUXILIAR!$A$39,0,INDEX(INDICES!$C$11:$K$313,'CÁLCULO REVISIÓN'!$B70,6))</f>
        <v>0</v>
      </c>
      <c r="I70" s="458">
        <f>IF($B70&gt;AUXILIAR!$A$39,0,INDEX(INDICES!$C$11:$K$313,'CÁLCULO REVISIÓN'!$B70,7))</f>
        <v>0</v>
      </c>
      <c r="J70" s="458">
        <f>IF($B70&gt;AUXILIAR!$A$39,0,INDEX(INDICES!$C$11:$K$313,'CÁLCULO REVISIÓN'!$B70,8))</f>
        <v>0</v>
      </c>
      <c r="K70" s="458">
        <f>IF($B70&gt;AUXILIAR!$A$39,0,INDEX(INDICES!$C$11:$K$313,'CÁLCULO REVISIÓN'!$B70,9))</f>
        <v>0</v>
      </c>
      <c r="L70" s="293">
        <f>IF(B70&gt;AUXILIAR!$A$39,0,$C$16*C70/$D$22+$D$16*H70/$I$22+$E$16*D70/$E$22+$F$16*G70/$H$22+$G$16*K70/$L$22+$H$16*E70/$F$22+$I$16*F70/$G$22+$J$16*J70/$K$22+$K$16*I70/$J$22+$L$16)</f>
        <v>0</v>
      </c>
      <c r="M70" s="294">
        <f>INDEX(AUXILIAR!I45:I320,'CÁLCULO REVISIÓN'!$B$27)</f>
        <v>43070</v>
      </c>
      <c r="N70" s="159"/>
      <c r="O70" s="159"/>
      <c r="P70" s="159"/>
      <c r="Q70" s="159"/>
      <c r="R70" s="159"/>
      <c r="S70" s="159"/>
    </row>
    <row r="71" spans="1:19" s="4" customFormat="1" ht="12.75">
      <c r="A71" s="292">
        <f t="shared" si="2"/>
        <v>46</v>
      </c>
      <c r="B71" s="292">
        <f t="shared" si="3"/>
        <v>265</v>
      </c>
      <c r="C71" s="458">
        <f>IF($B71&gt;AUXILIAR!$A$39,0,INDEX(INDICES!$C$11:$K$313,'CÁLCULO REVISIÓN'!$B71,1))</f>
        <v>0</v>
      </c>
      <c r="D71" s="458">
        <f>IF($B71&gt;AUXILIAR!$A$39,0,INDEX(INDICES!$C$11:$K$313,'CÁLCULO REVISIÓN'!$B71,2))</f>
        <v>0</v>
      </c>
      <c r="E71" s="458">
        <f>IF($B71&gt;AUXILIAR!$A$39,0,INDEX(INDICES!$C$11:$K$313,'CÁLCULO REVISIÓN'!$B71,3))</f>
        <v>0</v>
      </c>
      <c r="F71" s="458">
        <f>IF($B71&gt;AUXILIAR!$A$39,0,INDEX(INDICES!$C$11:$K$313,'CÁLCULO REVISIÓN'!$B71,4))</f>
        <v>0</v>
      </c>
      <c r="G71" s="458">
        <f>IF($B71&gt;AUXILIAR!$A$39,0,INDEX(INDICES!$C$11:$K$313,'CÁLCULO REVISIÓN'!$B71,5))</f>
        <v>0</v>
      </c>
      <c r="H71" s="458">
        <f>IF($B71&gt;AUXILIAR!$A$39,0,INDEX(INDICES!$C$11:$K$313,'CÁLCULO REVISIÓN'!$B71,6))</f>
        <v>0</v>
      </c>
      <c r="I71" s="458">
        <f>IF($B71&gt;AUXILIAR!$A$39,0,INDEX(INDICES!$C$11:$K$313,'CÁLCULO REVISIÓN'!$B71,7))</f>
        <v>0</v>
      </c>
      <c r="J71" s="458">
        <f>IF($B71&gt;AUXILIAR!$A$39,0,INDEX(INDICES!$C$11:$K$313,'CÁLCULO REVISIÓN'!$B71,8))</f>
        <v>0</v>
      </c>
      <c r="K71" s="458">
        <f>IF($B71&gt;AUXILIAR!$A$39,0,INDEX(INDICES!$C$11:$K$313,'CÁLCULO REVISIÓN'!$B71,9))</f>
        <v>0</v>
      </c>
      <c r="L71" s="293">
        <f>IF(B71&gt;AUXILIAR!$A$39,0,$C$16*C71/$D$22+$D$16*H71/$I$22+$E$16*D71/$E$22+$F$16*G71/$H$22+$G$16*K71/$L$22+$H$16*E71/$F$22+$I$16*F71/$G$22+$J$16*J71/$K$22+$K$16*I71/$J$22+$L$16)</f>
        <v>0</v>
      </c>
      <c r="M71" s="294">
        <f>INDEX(AUXILIAR!I46:I321,'CÁLCULO REVISIÓN'!$B$27)</f>
        <v>43101</v>
      </c>
      <c r="N71" s="159"/>
      <c r="O71" s="159"/>
      <c r="P71" s="159"/>
      <c r="Q71" s="159"/>
      <c r="R71" s="159"/>
      <c r="S71" s="159"/>
    </row>
    <row r="72" spans="1:19" s="4" customFormat="1" ht="12.75">
      <c r="A72" s="292">
        <f t="shared" si="2"/>
        <v>47</v>
      </c>
      <c r="B72" s="292">
        <f t="shared" si="3"/>
        <v>266</v>
      </c>
      <c r="C72" s="458">
        <f>IF($B72&gt;AUXILIAR!$A$39,0,INDEX(INDICES!$C$11:$K$313,'CÁLCULO REVISIÓN'!$B72,1))</f>
        <v>0</v>
      </c>
      <c r="D72" s="458">
        <f>IF($B72&gt;AUXILIAR!$A$39,0,INDEX(INDICES!$C$11:$K$313,'CÁLCULO REVISIÓN'!$B72,2))</f>
        <v>0</v>
      </c>
      <c r="E72" s="458">
        <f>IF($B72&gt;AUXILIAR!$A$39,0,INDEX(INDICES!$C$11:$K$313,'CÁLCULO REVISIÓN'!$B72,3))</f>
        <v>0</v>
      </c>
      <c r="F72" s="458">
        <f>IF($B72&gt;AUXILIAR!$A$39,0,INDEX(INDICES!$C$11:$K$313,'CÁLCULO REVISIÓN'!$B72,4))</f>
        <v>0</v>
      </c>
      <c r="G72" s="458">
        <f>IF($B72&gt;AUXILIAR!$A$39,0,INDEX(INDICES!$C$11:$K$313,'CÁLCULO REVISIÓN'!$B72,5))</f>
        <v>0</v>
      </c>
      <c r="H72" s="458">
        <f>IF($B72&gt;AUXILIAR!$A$39,0,INDEX(INDICES!$C$11:$K$313,'CÁLCULO REVISIÓN'!$B72,6))</f>
        <v>0</v>
      </c>
      <c r="I72" s="458">
        <f>IF($B72&gt;AUXILIAR!$A$39,0,INDEX(INDICES!$C$11:$K$313,'CÁLCULO REVISIÓN'!$B72,7))</f>
        <v>0</v>
      </c>
      <c r="J72" s="458">
        <f>IF($B72&gt;AUXILIAR!$A$39,0,INDEX(INDICES!$C$11:$K$313,'CÁLCULO REVISIÓN'!$B72,8))</f>
        <v>0</v>
      </c>
      <c r="K72" s="458">
        <f>IF($B72&gt;AUXILIAR!$A$39,0,INDEX(INDICES!$C$11:$K$313,'CÁLCULO REVISIÓN'!$B72,9))</f>
        <v>0</v>
      </c>
      <c r="L72" s="293">
        <f>IF(B72&gt;AUXILIAR!$A$39,0,$C$16*C72/$D$22+$D$16*H72/$I$22+$E$16*D72/$E$22+$F$16*G72/$H$22+$G$16*K72/$L$22+$H$16*E72/$F$22+$I$16*F72/$G$22+$J$16*J72/$K$22+$K$16*I72/$J$22+$L$16)</f>
        <v>0</v>
      </c>
      <c r="M72" s="294">
        <f>INDEX(AUXILIAR!I47:I322,'CÁLCULO REVISIÓN'!$B$27)</f>
        <v>43132</v>
      </c>
      <c r="N72" s="159"/>
      <c r="O72" s="159"/>
      <c r="P72" s="159"/>
      <c r="Q72" s="159"/>
      <c r="R72" s="159"/>
      <c r="S72" s="159"/>
    </row>
    <row r="73" spans="1:19" s="4" customFormat="1" ht="12.75">
      <c r="A73" s="292">
        <f t="shared" si="2"/>
        <v>48</v>
      </c>
      <c r="B73" s="292">
        <f t="shared" si="3"/>
        <v>267</v>
      </c>
      <c r="C73" s="458">
        <f>IF($B73&gt;AUXILIAR!$A$39,0,INDEX(INDICES!$C$11:$K$313,'CÁLCULO REVISIÓN'!$B73,1))</f>
        <v>0</v>
      </c>
      <c r="D73" s="458">
        <f>IF($B73&gt;AUXILIAR!$A$39,0,INDEX(INDICES!$C$11:$K$313,'CÁLCULO REVISIÓN'!$B73,2))</f>
        <v>0</v>
      </c>
      <c r="E73" s="458">
        <f>IF($B73&gt;AUXILIAR!$A$39,0,INDEX(INDICES!$C$11:$K$313,'CÁLCULO REVISIÓN'!$B73,3))</f>
        <v>0</v>
      </c>
      <c r="F73" s="458">
        <f>IF($B73&gt;AUXILIAR!$A$39,0,INDEX(INDICES!$C$11:$K$313,'CÁLCULO REVISIÓN'!$B73,4))</f>
        <v>0</v>
      </c>
      <c r="G73" s="458">
        <f>IF($B73&gt;AUXILIAR!$A$39,0,INDEX(INDICES!$C$11:$K$313,'CÁLCULO REVISIÓN'!$B73,5))</f>
        <v>0</v>
      </c>
      <c r="H73" s="458">
        <f>IF($B73&gt;AUXILIAR!$A$39,0,INDEX(INDICES!$C$11:$K$313,'CÁLCULO REVISIÓN'!$B73,6))</f>
        <v>0</v>
      </c>
      <c r="I73" s="458">
        <f>IF($B73&gt;AUXILIAR!$A$39,0,INDEX(INDICES!$C$11:$K$313,'CÁLCULO REVISIÓN'!$B73,7))</f>
        <v>0</v>
      </c>
      <c r="J73" s="458">
        <f>IF($B73&gt;AUXILIAR!$A$39,0,INDEX(INDICES!$C$11:$K$313,'CÁLCULO REVISIÓN'!$B73,8))</f>
        <v>0</v>
      </c>
      <c r="K73" s="458">
        <f>IF($B73&gt;AUXILIAR!$A$39,0,INDEX(INDICES!$C$11:$K$313,'CÁLCULO REVISIÓN'!$B73,9))</f>
        <v>0</v>
      </c>
      <c r="L73" s="293">
        <f>IF(B73&gt;AUXILIAR!$A$39,0,$C$16*C73/$D$22+$D$16*H73/$I$22+$E$16*D73/$E$22+$F$16*G73/$H$22+$G$16*K73/$L$22+$H$16*E73/$F$22+$I$16*F73/$G$22+$J$16*J73/$K$22+$K$16*I73/$J$22+$L$16)</f>
        <v>0</v>
      </c>
      <c r="M73" s="294">
        <f>INDEX(AUXILIAR!I48:I323,'CÁLCULO REVISIÓN'!$B$27)</f>
        <v>43160</v>
      </c>
      <c r="N73" s="159"/>
      <c r="O73" s="159"/>
      <c r="P73" s="159"/>
      <c r="Q73" s="159"/>
      <c r="R73" s="159"/>
      <c r="S73" s="159"/>
    </row>
    <row r="74" spans="1:19" s="4" customFormat="1" ht="12.75">
      <c r="A74" s="292">
        <f t="shared" si="2"/>
        <v>49</v>
      </c>
      <c r="B74" s="292">
        <f t="shared" si="3"/>
        <v>268</v>
      </c>
      <c r="C74" s="458">
        <f>IF($B74&gt;AUXILIAR!$A$39,0,INDEX(INDICES!$C$11:$K$313,'CÁLCULO REVISIÓN'!$B74,1))</f>
        <v>0</v>
      </c>
      <c r="D74" s="458">
        <f>IF($B74&gt;AUXILIAR!$A$39,0,INDEX(INDICES!$C$11:$K$313,'CÁLCULO REVISIÓN'!$B74,2))</f>
        <v>0</v>
      </c>
      <c r="E74" s="458">
        <f>IF($B74&gt;AUXILIAR!$A$39,0,INDEX(INDICES!$C$11:$K$313,'CÁLCULO REVISIÓN'!$B74,3))</f>
        <v>0</v>
      </c>
      <c r="F74" s="458">
        <f>IF($B74&gt;AUXILIAR!$A$39,0,INDEX(INDICES!$C$11:$K$313,'CÁLCULO REVISIÓN'!$B74,4))</f>
        <v>0</v>
      </c>
      <c r="G74" s="458">
        <f>IF($B74&gt;AUXILIAR!$A$39,0,INDEX(INDICES!$C$11:$K$313,'CÁLCULO REVISIÓN'!$B74,5))</f>
        <v>0</v>
      </c>
      <c r="H74" s="458">
        <f>IF($B74&gt;AUXILIAR!$A$39,0,INDEX(INDICES!$C$11:$K$313,'CÁLCULO REVISIÓN'!$B74,6))</f>
        <v>0</v>
      </c>
      <c r="I74" s="458">
        <f>IF($B74&gt;AUXILIAR!$A$39,0,INDEX(INDICES!$C$11:$K$313,'CÁLCULO REVISIÓN'!$B74,7))</f>
        <v>0</v>
      </c>
      <c r="J74" s="458">
        <f>IF($B74&gt;AUXILIAR!$A$39,0,INDEX(INDICES!$C$11:$K$313,'CÁLCULO REVISIÓN'!$B74,8))</f>
        <v>0</v>
      </c>
      <c r="K74" s="458">
        <f>IF($B74&gt;AUXILIAR!$A$39,0,INDEX(INDICES!$C$11:$K$313,'CÁLCULO REVISIÓN'!$B74,9))</f>
        <v>0</v>
      </c>
      <c r="L74" s="293">
        <f>IF(B74&gt;AUXILIAR!$A$39,0,$C$16*C74/$D$22+$D$16*H74/$I$22+$E$16*D74/$E$22+$F$16*G74/$H$22+$G$16*K74/$L$22+$H$16*E74/$F$22+$I$16*F74/$G$22+$J$16*J74/$K$22+$K$16*I74/$J$22+$L$16)</f>
        <v>0</v>
      </c>
      <c r="M74" s="294">
        <f>INDEX(AUXILIAR!I49:I324,'CÁLCULO REVISIÓN'!$B$27)</f>
        <v>43191</v>
      </c>
      <c r="N74" s="159"/>
      <c r="O74" s="159"/>
      <c r="P74" s="159"/>
      <c r="Q74" s="159"/>
      <c r="R74" s="159"/>
      <c r="S74" s="159"/>
    </row>
    <row r="75" spans="1:19" s="4" customFormat="1" ht="12.75">
      <c r="A75" s="292">
        <f t="shared" si="2"/>
        <v>50</v>
      </c>
      <c r="B75" s="292">
        <f t="shared" si="3"/>
        <v>269</v>
      </c>
      <c r="C75" s="458">
        <f>IF($B75&gt;AUXILIAR!$A$39,0,INDEX(INDICES!$C$11:$K$313,'CÁLCULO REVISIÓN'!$B75,1))</f>
        <v>0</v>
      </c>
      <c r="D75" s="458">
        <f>IF($B75&gt;AUXILIAR!$A$39,0,INDEX(INDICES!$C$11:$K$313,'CÁLCULO REVISIÓN'!$B75,2))</f>
        <v>0</v>
      </c>
      <c r="E75" s="458">
        <f>IF($B75&gt;AUXILIAR!$A$39,0,INDEX(INDICES!$C$11:$K$313,'CÁLCULO REVISIÓN'!$B75,3))</f>
        <v>0</v>
      </c>
      <c r="F75" s="458">
        <f>IF($B75&gt;AUXILIAR!$A$39,0,INDEX(INDICES!$C$11:$K$313,'CÁLCULO REVISIÓN'!$B75,4))</f>
        <v>0</v>
      </c>
      <c r="G75" s="458">
        <f>IF($B75&gt;AUXILIAR!$A$39,0,INDEX(INDICES!$C$11:$K$313,'CÁLCULO REVISIÓN'!$B75,5))</f>
        <v>0</v>
      </c>
      <c r="H75" s="458">
        <f>IF($B75&gt;AUXILIAR!$A$39,0,INDEX(INDICES!$C$11:$K$313,'CÁLCULO REVISIÓN'!$B75,6))</f>
        <v>0</v>
      </c>
      <c r="I75" s="458">
        <f>IF($B75&gt;AUXILIAR!$A$39,0,INDEX(INDICES!$C$11:$K$313,'CÁLCULO REVISIÓN'!$B75,7))</f>
        <v>0</v>
      </c>
      <c r="J75" s="458">
        <f>IF($B75&gt;AUXILIAR!$A$39,0,INDEX(INDICES!$C$11:$K$313,'CÁLCULO REVISIÓN'!$B75,8))</f>
        <v>0</v>
      </c>
      <c r="K75" s="458">
        <f>IF($B75&gt;AUXILIAR!$A$39,0,INDEX(INDICES!$C$11:$K$313,'CÁLCULO REVISIÓN'!$B75,9))</f>
        <v>0</v>
      </c>
      <c r="L75" s="293">
        <f>IF(B75&gt;AUXILIAR!$A$39,0,$C$16*C75/$D$22+$D$16*H75/$I$22+$E$16*D75/$E$22+$F$16*G75/$H$22+$G$16*K75/$L$22+$H$16*E75/$F$22+$I$16*F75/$G$22+$J$16*J75/$K$22+$K$16*I75/$J$22+$L$16)</f>
        <v>0</v>
      </c>
      <c r="M75" s="294">
        <f>INDEX(AUXILIAR!I50:I325,'CÁLCULO REVISIÓN'!$B$27)</f>
        <v>43221</v>
      </c>
      <c r="N75" s="159"/>
      <c r="O75" s="159"/>
      <c r="P75" s="159"/>
      <c r="Q75" s="159"/>
      <c r="R75" s="159"/>
      <c r="S75" s="159"/>
    </row>
    <row r="76" spans="1:19" s="4" customFormat="1" ht="12.75">
      <c r="A76" s="292">
        <f t="shared" si="2"/>
        <v>51</v>
      </c>
      <c r="B76" s="292">
        <f t="shared" si="3"/>
        <v>270</v>
      </c>
      <c r="C76" s="458">
        <f>IF($B76&gt;AUXILIAR!$A$39,0,INDEX(INDICES!$C$11:$K$313,'CÁLCULO REVISIÓN'!$B76,1))</f>
        <v>0</v>
      </c>
      <c r="D76" s="458">
        <f>IF($B76&gt;AUXILIAR!$A$39,0,INDEX(INDICES!$C$11:$K$313,'CÁLCULO REVISIÓN'!$B76,2))</f>
        <v>0</v>
      </c>
      <c r="E76" s="458">
        <f>IF($B76&gt;AUXILIAR!$A$39,0,INDEX(INDICES!$C$11:$K$313,'CÁLCULO REVISIÓN'!$B76,3))</f>
        <v>0</v>
      </c>
      <c r="F76" s="458">
        <f>IF($B76&gt;AUXILIAR!$A$39,0,INDEX(INDICES!$C$11:$K$313,'CÁLCULO REVISIÓN'!$B76,4))</f>
        <v>0</v>
      </c>
      <c r="G76" s="458">
        <f>IF($B76&gt;AUXILIAR!$A$39,0,INDEX(INDICES!$C$11:$K$313,'CÁLCULO REVISIÓN'!$B76,5))</f>
        <v>0</v>
      </c>
      <c r="H76" s="458">
        <f>IF($B76&gt;AUXILIAR!$A$39,0,INDEX(INDICES!$C$11:$K$313,'CÁLCULO REVISIÓN'!$B76,6))</f>
        <v>0</v>
      </c>
      <c r="I76" s="458">
        <f>IF($B76&gt;AUXILIAR!$A$39,0,INDEX(INDICES!$C$11:$K$313,'CÁLCULO REVISIÓN'!$B76,7))</f>
        <v>0</v>
      </c>
      <c r="J76" s="458">
        <f>IF($B76&gt;AUXILIAR!$A$39,0,INDEX(INDICES!$C$11:$K$313,'CÁLCULO REVISIÓN'!$B76,8))</f>
        <v>0</v>
      </c>
      <c r="K76" s="458">
        <f>IF($B76&gt;AUXILIAR!$A$39,0,INDEX(INDICES!$C$11:$K$313,'CÁLCULO REVISIÓN'!$B76,9))</f>
        <v>0</v>
      </c>
      <c r="L76" s="293">
        <f>IF(B76&gt;AUXILIAR!$A$39,0,$C$16*C76/$D$22+$D$16*H76/$I$22+$E$16*D76/$E$22+$F$16*G76/$H$22+$G$16*K76/$L$22+$H$16*E76/$F$22+$I$16*F76/$G$22+$J$16*J76/$K$22+$K$16*I76/$J$22+$L$16)</f>
        <v>0</v>
      </c>
      <c r="M76" s="294">
        <f>INDEX(AUXILIAR!I51:I326,'CÁLCULO REVISIÓN'!$B$27)</f>
        <v>43252</v>
      </c>
      <c r="N76" s="159"/>
      <c r="O76" s="159"/>
      <c r="P76" s="159"/>
      <c r="Q76" s="159"/>
      <c r="R76" s="159"/>
      <c r="S76" s="159"/>
    </row>
    <row r="77" spans="1:19" s="4" customFormat="1" ht="13.5" thickBot="1">
      <c r="A77" s="295"/>
      <c r="B77" s="296"/>
      <c r="C77" s="297"/>
      <c r="D77" s="297"/>
      <c r="E77" s="297"/>
      <c r="F77" s="297"/>
      <c r="G77" s="297"/>
      <c r="H77" s="297"/>
      <c r="I77" s="297"/>
      <c r="J77" s="297"/>
      <c r="K77" s="297"/>
      <c r="L77" s="298"/>
      <c r="M77" s="299"/>
      <c r="N77" s="159"/>
      <c r="O77" s="159"/>
      <c r="P77" s="159"/>
      <c r="Q77" s="159"/>
      <c r="R77" s="159"/>
      <c r="S77" s="159"/>
    </row>
    <row r="78" spans="1:26" s="4" customFormat="1" ht="15">
      <c r="A78" s="287"/>
      <c r="B78" s="288" t="str">
        <f>IF(AUXILIAR!D11=1,"ESTOS COEFICIENTES NO SON APLICABLES PARA EL CASO DE UNA SOLA FÓRMULA DE REVISIÓN",CONCATENATE("COEFICIENTES KT CORRESPONDIENTES A LAS CERTIFICACIONES REVISABLES CON LA FÓRMULA TIPO Nº ",B19))</f>
        <v>ESTOS COEFICIENTES NO SON APLICABLES PARA EL CASO DE UNA SOLA FÓRMULA DE REVISIÓN</v>
      </c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159"/>
      <c r="O78" s="159"/>
      <c r="P78" s="159"/>
      <c r="Q78" s="159"/>
      <c r="R78" s="159"/>
      <c r="S78" s="159"/>
      <c r="T78" s="47"/>
      <c r="U78" s="47"/>
      <c r="V78" s="47"/>
      <c r="W78" s="47"/>
      <c r="X78" s="47"/>
      <c r="Y78" s="47"/>
      <c r="Z78" s="47"/>
    </row>
    <row r="79" spans="1:26" s="4" customFormat="1" ht="12.75">
      <c r="A79" s="289" t="s">
        <v>172</v>
      </c>
      <c r="B79" s="290" t="s">
        <v>51</v>
      </c>
      <c r="C79" s="291" t="s">
        <v>39</v>
      </c>
      <c r="D79" s="291" t="s">
        <v>40</v>
      </c>
      <c r="E79" s="291" t="s">
        <v>41</v>
      </c>
      <c r="F79" s="291" t="s">
        <v>42</v>
      </c>
      <c r="G79" s="291" t="s">
        <v>43</v>
      </c>
      <c r="H79" s="291" t="s">
        <v>44</v>
      </c>
      <c r="I79" s="291" t="s">
        <v>45</v>
      </c>
      <c r="J79" s="291" t="s">
        <v>46</v>
      </c>
      <c r="K79" s="291" t="s">
        <v>47</v>
      </c>
      <c r="L79" s="290" t="s">
        <v>48</v>
      </c>
      <c r="M79" s="290" t="s">
        <v>49</v>
      </c>
      <c r="N79" s="159"/>
      <c r="O79" s="159"/>
      <c r="P79" s="159"/>
      <c r="Q79" s="159"/>
      <c r="R79" s="159"/>
      <c r="S79" s="159"/>
      <c r="T79" s="47"/>
      <c r="U79" s="47"/>
      <c r="V79" s="47"/>
      <c r="W79" s="47"/>
      <c r="X79" s="47"/>
      <c r="Y79" s="47"/>
      <c r="Z79" s="47"/>
    </row>
    <row r="80" spans="1:26" s="4" customFormat="1" ht="12.75">
      <c r="A80" s="292">
        <f>AUXILIAR!B18</f>
        <v>2</v>
      </c>
      <c r="B80" s="300">
        <f>AUXILIAR!A17</f>
        <v>221</v>
      </c>
      <c r="C80" s="458">
        <f>IF($B27&gt;AUXILIAR!$A$39,0,INDEX(INDICES!$C$11:$K$313,'CÁLCULO REVISIÓN'!$B27,1))</f>
        <v>0</v>
      </c>
      <c r="D80" s="458">
        <f>IF($B27&gt;AUXILIAR!$A$39,0,INDEX(INDICES!$C$11:$K$313,'CÁLCULO REVISIÓN'!$B27,2))</f>
        <v>0</v>
      </c>
      <c r="E80" s="458">
        <f>IF($B27&gt;AUXILIAR!$A$39,0,INDEX(INDICES!$C$11:$K$313,'CÁLCULO REVISIÓN'!$B27,3))</f>
        <v>0</v>
      </c>
      <c r="F80" s="458">
        <f>IF($B27&gt;AUXILIAR!$A$39,0,INDEX(INDICES!$C$11:$K$313,'CÁLCULO REVISIÓN'!$B27,4))</f>
        <v>0</v>
      </c>
      <c r="G80" s="458">
        <f>IF($B27&gt;AUXILIAR!$A$39,0,INDEX(INDICES!$C$11:$K$313,'CÁLCULO REVISIÓN'!$B27,5))</f>
        <v>0</v>
      </c>
      <c r="H80" s="458">
        <f>IF($B27&gt;AUXILIAR!$A$39,0,INDEX(INDICES!$C$11:$K$313,'CÁLCULO REVISIÓN'!$B27,6))</f>
        <v>0</v>
      </c>
      <c r="I80" s="458">
        <f>IF($B27&gt;AUXILIAR!$A$39,0,INDEX(INDICES!$C$11:$K$313,'CÁLCULO REVISIÓN'!$B27,7))</f>
        <v>0</v>
      </c>
      <c r="J80" s="458">
        <f>IF($B27&gt;AUXILIAR!$A$39,0,INDEX(INDICES!$C$11:$K$313,'CÁLCULO REVISIÓN'!$B27,8))</f>
        <v>0</v>
      </c>
      <c r="K80" s="458">
        <f>IF($B27&gt;AUXILIAR!$A$39,0,INDEX(INDICES!$C$11:$K$313,'CÁLCULO REVISIÓN'!$B27,9))</f>
        <v>0</v>
      </c>
      <c r="L80" s="293">
        <f>IF(AUXILIAR!$D$11=2,IF($B80&gt;AUXILIAR!$A$39,0,$C$19*C80/$D$22+$D$19*H80/$I$22+$E$19*D80/$E$22+$F$19*G80/$H$22+$G$19*K80/$L$22+$H$19*E80/$F$22+$I$19*F80/$G$22+$J$19*J80/$K$22+$K$19*I80/$J$22+$L$19),0)</f>
        <v>0</v>
      </c>
      <c r="M80" s="294">
        <f>INDEX(AUXILIAR!I2:I313,'CÁLCULO REVISIÓN'!$B$27)</f>
        <v>41760</v>
      </c>
      <c r="N80" s="159"/>
      <c r="O80" s="159"/>
      <c r="P80" s="159"/>
      <c r="Q80" s="159"/>
      <c r="R80" s="159"/>
      <c r="S80" s="159"/>
      <c r="T80" s="47"/>
      <c r="U80" s="47"/>
      <c r="V80" s="47"/>
      <c r="W80" s="47"/>
      <c r="X80" s="47"/>
      <c r="Y80" s="47"/>
      <c r="Z80" s="47"/>
    </row>
    <row r="81" spans="1:26" s="4" customFormat="1" ht="12.75">
      <c r="A81" s="292">
        <f aca="true" t="shared" si="4" ref="A81:A129">1+A80</f>
        <v>3</v>
      </c>
      <c r="B81" s="300">
        <f aca="true" t="shared" si="5" ref="B81:B129">B80+1</f>
        <v>222</v>
      </c>
      <c r="C81" s="458">
        <f>IF($B28&gt;AUXILIAR!$A$39,0,INDEX(INDICES!$C$11:$K$313,'CÁLCULO REVISIÓN'!$B28,1))</f>
        <v>0</v>
      </c>
      <c r="D81" s="458">
        <f>IF($B28&gt;AUXILIAR!$A$39,0,INDEX(INDICES!$C$11:$K$313,'CÁLCULO REVISIÓN'!$B28,2))</f>
        <v>0</v>
      </c>
      <c r="E81" s="458">
        <f>IF($B28&gt;AUXILIAR!$A$39,0,INDEX(INDICES!$C$11:$K$313,'CÁLCULO REVISIÓN'!$B28,3))</f>
        <v>0</v>
      </c>
      <c r="F81" s="458">
        <f>IF($B28&gt;AUXILIAR!$A$39,0,INDEX(INDICES!$C$11:$K$313,'CÁLCULO REVISIÓN'!$B28,4))</f>
        <v>0</v>
      </c>
      <c r="G81" s="458">
        <f>IF($B28&gt;AUXILIAR!$A$39,0,INDEX(INDICES!$C$11:$K$313,'CÁLCULO REVISIÓN'!$B28,5))</f>
        <v>0</v>
      </c>
      <c r="H81" s="458">
        <f>IF($B28&gt;AUXILIAR!$A$39,0,INDEX(INDICES!$C$11:$K$313,'CÁLCULO REVISIÓN'!$B28,6))</f>
        <v>0</v>
      </c>
      <c r="I81" s="458">
        <f>IF($B28&gt;AUXILIAR!$A$39,0,INDEX(INDICES!$C$11:$K$313,'CÁLCULO REVISIÓN'!$B28,7))</f>
        <v>0</v>
      </c>
      <c r="J81" s="458">
        <f>IF($B28&gt;AUXILIAR!$A$39,0,INDEX(INDICES!$C$11:$K$313,'CÁLCULO REVISIÓN'!$B28,8))</f>
        <v>0</v>
      </c>
      <c r="K81" s="458">
        <f>IF($B28&gt;AUXILIAR!$A$39,0,INDEX(INDICES!$C$11:$K$313,'CÁLCULO REVISIÓN'!$B28,9))</f>
        <v>0</v>
      </c>
      <c r="L81" s="293">
        <f>IF(AUXILIAR!$D$11=2,IF($B81&gt;AUXILIAR!$A$39,0,$C$19*C81/$D$22+$D$19*H81/$I$22+$E$19*D81/$E$22+$F$19*G81/$H$22+$G$19*K81/$L$22+$H$19*E81/$F$22+$I$19*F81/$G$22+$J$19*J81/$K$22+$K$19*I81/$J$22+$L$19),0)</f>
        <v>0</v>
      </c>
      <c r="M81" s="294">
        <f>INDEX(AUXILIAR!I3:I313,'CÁLCULO REVISIÓN'!$B$27)</f>
        <v>41791</v>
      </c>
      <c r="N81" s="159"/>
      <c r="O81" s="159"/>
      <c r="P81" s="159"/>
      <c r="Q81" s="159"/>
      <c r="R81" s="159"/>
      <c r="S81" s="159"/>
      <c r="T81" s="47"/>
      <c r="U81" s="47"/>
      <c r="V81" s="47"/>
      <c r="W81" s="47"/>
      <c r="X81" s="47"/>
      <c r="Y81" s="47"/>
      <c r="Z81" s="47"/>
    </row>
    <row r="82" spans="1:26" s="4" customFormat="1" ht="12.75">
      <c r="A82" s="292">
        <f t="shared" si="4"/>
        <v>4</v>
      </c>
      <c r="B82" s="300">
        <f t="shared" si="5"/>
        <v>223</v>
      </c>
      <c r="C82" s="458">
        <f>IF($B29&gt;AUXILIAR!$A$39,0,INDEX(INDICES!$C$11:$K$313,'CÁLCULO REVISIÓN'!$B29,1))</f>
        <v>0</v>
      </c>
      <c r="D82" s="458">
        <f>IF($B29&gt;AUXILIAR!$A$39,0,INDEX(INDICES!$C$11:$K$313,'CÁLCULO REVISIÓN'!$B29,2))</f>
        <v>0</v>
      </c>
      <c r="E82" s="458">
        <f>IF($B29&gt;AUXILIAR!$A$39,0,INDEX(INDICES!$C$11:$K$313,'CÁLCULO REVISIÓN'!$B29,3))</f>
        <v>0</v>
      </c>
      <c r="F82" s="458">
        <f>IF($B29&gt;AUXILIAR!$A$39,0,INDEX(INDICES!$C$11:$K$313,'CÁLCULO REVISIÓN'!$B29,4))</f>
        <v>0</v>
      </c>
      <c r="G82" s="458">
        <f>IF($B29&gt;AUXILIAR!$A$39,0,INDEX(INDICES!$C$11:$K$313,'CÁLCULO REVISIÓN'!$B29,5))</f>
        <v>0</v>
      </c>
      <c r="H82" s="458">
        <f>IF($B29&gt;AUXILIAR!$A$39,0,INDEX(INDICES!$C$11:$K$313,'CÁLCULO REVISIÓN'!$B29,6))</f>
        <v>0</v>
      </c>
      <c r="I82" s="458">
        <f>IF($B29&gt;AUXILIAR!$A$39,0,INDEX(INDICES!$C$11:$K$313,'CÁLCULO REVISIÓN'!$B29,7))</f>
        <v>0</v>
      </c>
      <c r="J82" s="458">
        <f>IF($B29&gt;AUXILIAR!$A$39,0,INDEX(INDICES!$C$11:$K$313,'CÁLCULO REVISIÓN'!$B29,8))</f>
        <v>0</v>
      </c>
      <c r="K82" s="458">
        <f>IF($B29&gt;AUXILIAR!$A$39,0,INDEX(INDICES!$C$11:$K$313,'CÁLCULO REVISIÓN'!$B29,9))</f>
        <v>0</v>
      </c>
      <c r="L82" s="293">
        <f>IF(AUXILIAR!$D$11=2,IF($B82&gt;AUXILIAR!$A$39,0,$C$19*C82/$D$22+$D$19*H82/$I$22+$E$19*D82/$E$22+$F$19*G82/$H$22+$G$19*K82/$L$22+$H$19*E82/$F$22+$I$19*F82/$G$22+$J$19*J82/$K$22+$K$19*I82/$J$22+$L$19),0)</f>
        <v>0</v>
      </c>
      <c r="M82" s="294">
        <f>INDEX(AUXILIAR!I4:I279,'CÁLCULO REVISIÓN'!$B$27)</f>
        <v>41821</v>
      </c>
      <c r="N82" s="159"/>
      <c r="O82" s="159"/>
      <c r="P82" s="159"/>
      <c r="Q82" s="159"/>
      <c r="R82" s="159"/>
      <c r="S82" s="159"/>
      <c r="T82" s="47"/>
      <c r="U82" s="47"/>
      <c r="V82" s="47"/>
      <c r="W82" s="47"/>
      <c r="X82" s="47"/>
      <c r="Y82" s="47"/>
      <c r="Z82" s="47"/>
    </row>
    <row r="83" spans="1:26" s="4" customFormat="1" ht="12.75">
      <c r="A83" s="292">
        <f t="shared" si="4"/>
        <v>5</v>
      </c>
      <c r="B83" s="300">
        <f t="shared" si="5"/>
        <v>224</v>
      </c>
      <c r="C83" s="458">
        <f>IF($B30&gt;AUXILIAR!$A$39,0,INDEX(INDICES!$C$11:$K$313,'CÁLCULO REVISIÓN'!$B30,1))</f>
        <v>0</v>
      </c>
      <c r="D83" s="458">
        <f>IF($B30&gt;AUXILIAR!$A$39,0,INDEX(INDICES!$C$11:$K$313,'CÁLCULO REVISIÓN'!$B30,2))</f>
        <v>0</v>
      </c>
      <c r="E83" s="458">
        <f>IF($B30&gt;AUXILIAR!$A$39,0,INDEX(INDICES!$C$11:$K$313,'CÁLCULO REVISIÓN'!$B30,3))</f>
        <v>0</v>
      </c>
      <c r="F83" s="458">
        <f>IF($B30&gt;AUXILIAR!$A$39,0,INDEX(INDICES!$C$11:$K$313,'CÁLCULO REVISIÓN'!$B30,4))</f>
        <v>0</v>
      </c>
      <c r="G83" s="458">
        <f>IF($B30&gt;AUXILIAR!$A$39,0,INDEX(INDICES!$C$11:$K$313,'CÁLCULO REVISIÓN'!$B30,5))</f>
        <v>0</v>
      </c>
      <c r="H83" s="458">
        <f>IF($B30&gt;AUXILIAR!$A$39,0,INDEX(INDICES!$C$11:$K$313,'CÁLCULO REVISIÓN'!$B30,6))</f>
        <v>0</v>
      </c>
      <c r="I83" s="458">
        <f>IF($B30&gt;AUXILIAR!$A$39,0,INDEX(INDICES!$C$11:$K$313,'CÁLCULO REVISIÓN'!$B30,7))</f>
        <v>0</v>
      </c>
      <c r="J83" s="458">
        <f>IF($B30&gt;AUXILIAR!$A$39,0,INDEX(INDICES!$C$11:$K$313,'CÁLCULO REVISIÓN'!$B30,8))</f>
        <v>0</v>
      </c>
      <c r="K83" s="458">
        <f>IF($B30&gt;AUXILIAR!$A$39,0,INDEX(INDICES!$C$11:$K$313,'CÁLCULO REVISIÓN'!$B30,9))</f>
        <v>0</v>
      </c>
      <c r="L83" s="293">
        <f>IF(AUXILIAR!$D$11=2,IF($B83&gt;AUXILIAR!$A$39,0,$C$19*C83/$D$22+$D$19*H83/$I$22+$E$19*D83/$E$22+$F$19*G83/$H$22+$G$19*K83/$L$22+$H$19*E83/$F$22+$I$19*F83/$G$22+$J$19*J83/$K$22+$K$19*I83/$J$22+$L$19),0)</f>
        <v>0</v>
      </c>
      <c r="M83" s="294">
        <f>INDEX(AUXILIAR!I5:I280,'CÁLCULO REVISIÓN'!$B$27)</f>
        <v>41852</v>
      </c>
      <c r="N83" s="159"/>
      <c r="O83" s="159"/>
      <c r="P83" s="159"/>
      <c r="Q83" s="159"/>
      <c r="R83" s="159"/>
      <c r="S83" s="159"/>
      <c r="T83" s="47"/>
      <c r="U83" s="47"/>
      <c r="V83" s="47"/>
      <c r="W83" s="47"/>
      <c r="X83" s="47"/>
      <c r="Y83" s="47"/>
      <c r="Z83" s="47"/>
    </row>
    <row r="84" spans="1:26" s="4" customFormat="1" ht="12.75">
      <c r="A84" s="292">
        <f t="shared" si="4"/>
        <v>6</v>
      </c>
      <c r="B84" s="300">
        <f t="shared" si="5"/>
        <v>225</v>
      </c>
      <c r="C84" s="458">
        <f>IF($B31&gt;AUXILIAR!$A$39,0,INDEX(INDICES!$C$11:$K$313,'CÁLCULO REVISIÓN'!$B31,1))</f>
        <v>0</v>
      </c>
      <c r="D84" s="458">
        <f>IF($B31&gt;AUXILIAR!$A$39,0,INDEX(INDICES!$C$11:$K$313,'CÁLCULO REVISIÓN'!$B31,2))</f>
        <v>0</v>
      </c>
      <c r="E84" s="458">
        <f>IF($B31&gt;AUXILIAR!$A$39,0,INDEX(INDICES!$C$11:$K$313,'CÁLCULO REVISIÓN'!$B31,3))</f>
        <v>0</v>
      </c>
      <c r="F84" s="458">
        <f>IF($B31&gt;AUXILIAR!$A$39,0,INDEX(INDICES!$C$11:$K$313,'CÁLCULO REVISIÓN'!$B31,4))</f>
        <v>0</v>
      </c>
      <c r="G84" s="458">
        <f>IF($B31&gt;AUXILIAR!$A$39,0,INDEX(INDICES!$C$11:$K$313,'CÁLCULO REVISIÓN'!$B31,5))</f>
        <v>0</v>
      </c>
      <c r="H84" s="458">
        <f>IF($B31&gt;AUXILIAR!$A$39,0,INDEX(INDICES!$C$11:$K$313,'CÁLCULO REVISIÓN'!$B31,6))</f>
        <v>0</v>
      </c>
      <c r="I84" s="458">
        <f>IF($B31&gt;AUXILIAR!$A$39,0,INDEX(INDICES!$C$11:$K$313,'CÁLCULO REVISIÓN'!$B31,7))</f>
        <v>0</v>
      </c>
      <c r="J84" s="458">
        <f>IF($B31&gt;AUXILIAR!$A$39,0,INDEX(INDICES!$C$11:$K$313,'CÁLCULO REVISIÓN'!$B31,8))</f>
        <v>0</v>
      </c>
      <c r="K84" s="458">
        <f>IF($B31&gt;AUXILIAR!$A$39,0,INDEX(INDICES!$C$11:$K$313,'CÁLCULO REVISIÓN'!$B31,9))</f>
        <v>0</v>
      </c>
      <c r="L84" s="293">
        <f>IF(AUXILIAR!$D$11=2,IF($B84&gt;AUXILIAR!$A$39,0,$C$19*C84/$D$22+$D$19*H84/$I$22+$E$19*D84/$E$22+$F$19*G84/$H$22+$G$19*K84/$L$22+$H$19*E84/$F$22+$I$19*F84/$G$22+$J$19*J84/$K$22+$K$19*I84/$J$22+$L$19),0)</f>
        <v>0</v>
      </c>
      <c r="M84" s="294">
        <f>INDEX(AUXILIAR!I6:I281,'CÁLCULO REVISIÓN'!$B$27)</f>
        <v>41883</v>
      </c>
      <c r="N84" s="159"/>
      <c r="O84" s="159"/>
      <c r="P84" s="159"/>
      <c r="Q84" s="159"/>
      <c r="R84" s="159"/>
      <c r="S84" s="159"/>
      <c r="T84" s="47"/>
      <c r="U84" s="47"/>
      <c r="V84" s="47"/>
      <c r="W84" s="47"/>
      <c r="X84" s="47"/>
      <c r="Y84" s="47"/>
      <c r="Z84" s="47"/>
    </row>
    <row r="85" spans="1:26" s="4" customFormat="1" ht="12.75">
      <c r="A85" s="292">
        <f t="shared" si="4"/>
        <v>7</v>
      </c>
      <c r="B85" s="300">
        <f t="shared" si="5"/>
        <v>226</v>
      </c>
      <c r="C85" s="458">
        <f>IF($B32&gt;AUXILIAR!$A$39,0,INDEX(INDICES!$C$11:$K$313,'CÁLCULO REVISIÓN'!$B32,1))</f>
        <v>0</v>
      </c>
      <c r="D85" s="458">
        <f>IF($B32&gt;AUXILIAR!$A$39,0,INDEX(INDICES!$C$11:$K$313,'CÁLCULO REVISIÓN'!$B32,2))</f>
        <v>0</v>
      </c>
      <c r="E85" s="458">
        <f>IF($B32&gt;AUXILIAR!$A$39,0,INDEX(INDICES!$C$11:$K$313,'CÁLCULO REVISIÓN'!$B32,3))</f>
        <v>0</v>
      </c>
      <c r="F85" s="458">
        <f>IF($B32&gt;AUXILIAR!$A$39,0,INDEX(INDICES!$C$11:$K$313,'CÁLCULO REVISIÓN'!$B32,4))</f>
        <v>0</v>
      </c>
      <c r="G85" s="458">
        <f>IF($B32&gt;AUXILIAR!$A$39,0,INDEX(INDICES!$C$11:$K$313,'CÁLCULO REVISIÓN'!$B32,5))</f>
        <v>0</v>
      </c>
      <c r="H85" s="458">
        <f>IF($B32&gt;AUXILIAR!$A$39,0,INDEX(INDICES!$C$11:$K$313,'CÁLCULO REVISIÓN'!$B32,6))</f>
        <v>0</v>
      </c>
      <c r="I85" s="458">
        <f>IF($B32&gt;AUXILIAR!$A$39,0,INDEX(INDICES!$C$11:$K$313,'CÁLCULO REVISIÓN'!$B32,7))</f>
        <v>0</v>
      </c>
      <c r="J85" s="458">
        <f>IF($B32&gt;AUXILIAR!$A$39,0,INDEX(INDICES!$C$11:$K$313,'CÁLCULO REVISIÓN'!$B32,8))</f>
        <v>0</v>
      </c>
      <c r="K85" s="458">
        <f>IF($B32&gt;AUXILIAR!$A$39,0,INDEX(INDICES!$C$11:$K$313,'CÁLCULO REVISIÓN'!$B32,9))</f>
        <v>0</v>
      </c>
      <c r="L85" s="293">
        <f>IF(AUXILIAR!$D$11=2,IF($B85&gt;AUXILIAR!$A$39,0,$C$19*C85/$D$22+$D$19*H85/$I$22+$E$19*D85/$E$22+$F$19*G85/$H$22+$G$19*K85/$L$22+$H$19*E85/$F$22+$I$19*F85/$G$22+$J$19*J85/$K$22+$K$19*I85/$J$22+$L$19),0)</f>
        <v>0</v>
      </c>
      <c r="M85" s="294">
        <f>INDEX(AUXILIAR!I7:I282,'CÁLCULO REVISIÓN'!$B$27)</f>
        <v>41913</v>
      </c>
      <c r="N85" s="159"/>
      <c r="O85" s="159"/>
      <c r="P85" s="159"/>
      <c r="Q85" s="159"/>
      <c r="R85" s="159"/>
      <c r="S85" s="159"/>
      <c r="T85" s="47"/>
      <c r="U85" s="47"/>
      <c r="V85" s="47"/>
      <c r="W85" s="47"/>
      <c r="X85" s="47"/>
      <c r="Y85" s="47"/>
      <c r="Z85" s="47"/>
    </row>
    <row r="86" spans="1:26" s="4" customFormat="1" ht="12.75">
      <c r="A86" s="292">
        <f t="shared" si="4"/>
        <v>8</v>
      </c>
      <c r="B86" s="300">
        <f t="shared" si="5"/>
        <v>227</v>
      </c>
      <c r="C86" s="458">
        <f>IF($B33&gt;AUXILIAR!$A$39,0,INDEX(INDICES!$C$11:$K$313,'CÁLCULO REVISIÓN'!$B33,1))</f>
        <v>0</v>
      </c>
      <c r="D86" s="458">
        <f>IF($B33&gt;AUXILIAR!$A$39,0,INDEX(INDICES!$C$11:$K$313,'CÁLCULO REVISIÓN'!$B33,2))</f>
        <v>0</v>
      </c>
      <c r="E86" s="458">
        <f>IF($B33&gt;AUXILIAR!$A$39,0,INDEX(INDICES!$C$11:$K$313,'CÁLCULO REVISIÓN'!$B33,3))</f>
        <v>0</v>
      </c>
      <c r="F86" s="458">
        <f>IF($B33&gt;AUXILIAR!$A$39,0,INDEX(INDICES!$C$11:$K$313,'CÁLCULO REVISIÓN'!$B33,4))</f>
        <v>0</v>
      </c>
      <c r="G86" s="458">
        <f>IF($B33&gt;AUXILIAR!$A$39,0,INDEX(INDICES!$C$11:$K$313,'CÁLCULO REVISIÓN'!$B33,5))</f>
        <v>0</v>
      </c>
      <c r="H86" s="458">
        <f>IF($B33&gt;AUXILIAR!$A$39,0,INDEX(INDICES!$C$11:$K$313,'CÁLCULO REVISIÓN'!$B33,6))</f>
        <v>0</v>
      </c>
      <c r="I86" s="458">
        <f>IF($B33&gt;AUXILIAR!$A$39,0,INDEX(INDICES!$C$11:$K$313,'CÁLCULO REVISIÓN'!$B33,7))</f>
        <v>0</v>
      </c>
      <c r="J86" s="458">
        <f>IF($B33&gt;AUXILIAR!$A$39,0,INDEX(INDICES!$C$11:$K$313,'CÁLCULO REVISIÓN'!$B33,8))</f>
        <v>0</v>
      </c>
      <c r="K86" s="458">
        <f>IF($B33&gt;AUXILIAR!$A$39,0,INDEX(INDICES!$C$11:$K$313,'CÁLCULO REVISIÓN'!$B33,9))</f>
        <v>0</v>
      </c>
      <c r="L86" s="293">
        <f>IF(AUXILIAR!$D$11=2,IF($B86&gt;AUXILIAR!$A$39,0,$C$19*C86/$D$22+$D$19*H86/$I$22+$E$19*D86/$E$22+$F$19*G86/$H$22+$G$19*K86/$L$22+$H$19*E86/$F$22+$I$19*F86/$G$22+$J$19*J86/$K$22+$K$19*I86/$J$22+$L$19),0)</f>
        <v>0</v>
      </c>
      <c r="M86" s="294">
        <f>INDEX(AUXILIAR!I8:I283,'CÁLCULO REVISIÓN'!$B$27)</f>
        <v>41944</v>
      </c>
      <c r="N86" s="159"/>
      <c r="O86" s="159"/>
      <c r="P86" s="159"/>
      <c r="Q86" s="159"/>
      <c r="R86" s="159"/>
      <c r="S86" s="159"/>
      <c r="T86" s="47"/>
      <c r="U86" s="47"/>
      <c r="V86" s="47"/>
      <c r="W86" s="47"/>
      <c r="X86" s="47"/>
      <c r="Y86" s="47"/>
      <c r="Z86" s="47"/>
    </row>
    <row r="87" spans="1:26" s="4" customFormat="1" ht="12.75">
      <c r="A87" s="292">
        <f t="shared" si="4"/>
        <v>9</v>
      </c>
      <c r="B87" s="300">
        <f t="shared" si="5"/>
        <v>228</v>
      </c>
      <c r="C87" s="458">
        <f>IF($B34&gt;AUXILIAR!$A$39,0,INDEX(INDICES!$C$11:$K$313,'CÁLCULO REVISIÓN'!$B34,1))</f>
        <v>0</v>
      </c>
      <c r="D87" s="458">
        <f>IF($B34&gt;AUXILIAR!$A$39,0,INDEX(INDICES!$C$11:$K$313,'CÁLCULO REVISIÓN'!$B34,2))</f>
        <v>0</v>
      </c>
      <c r="E87" s="458">
        <f>IF($B34&gt;AUXILIAR!$A$39,0,INDEX(INDICES!$C$11:$K$313,'CÁLCULO REVISIÓN'!$B34,3))</f>
        <v>0</v>
      </c>
      <c r="F87" s="458">
        <f>IF($B34&gt;AUXILIAR!$A$39,0,INDEX(INDICES!$C$11:$K$313,'CÁLCULO REVISIÓN'!$B34,4))</f>
        <v>0</v>
      </c>
      <c r="G87" s="458">
        <f>IF($B34&gt;AUXILIAR!$A$39,0,INDEX(INDICES!$C$11:$K$313,'CÁLCULO REVISIÓN'!$B34,5))</f>
        <v>0</v>
      </c>
      <c r="H87" s="458">
        <f>IF($B34&gt;AUXILIAR!$A$39,0,INDEX(INDICES!$C$11:$K$313,'CÁLCULO REVISIÓN'!$B34,6))</f>
        <v>0</v>
      </c>
      <c r="I87" s="458">
        <f>IF($B34&gt;AUXILIAR!$A$39,0,INDEX(INDICES!$C$11:$K$313,'CÁLCULO REVISIÓN'!$B34,7))</f>
        <v>0</v>
      </c>
      <c r="J87" s="458">
        <f>IF($B34&gt;AUXILIAR!$A$39,0,INDEX(INDICES!$C$11:$K$313,'CÁLCULO REVISIÓN'!$B34,8))</f>
        <v>0</v>
      </c>
      <c r="K87" s="458">
        <f>IF($B34&gt;AUXILIAR!$A$39,0,INDEX(INDICES!$C$11:$K$313,'CÁLCULO REVISIÓN'!$B34,9))</f>
        <v>0</v>
      </c>
      <c r="L87" s="293">
        <f>IF(AUXILIAR!$D$11=2,IF($B87&gt;AUXILIAR!$A$39,0,$C$19*C87/$D$22+$D$19*H87/$I$22+$E$19*D87/$E$22+$F$19*G87/$H$22+$G$19*K87/$L$22+$H$19*E87/$F$22+$I$19*F87/$G$22+$J$19*J87/$K$22+$K$19*I87/$J$22+$L$19),0)</f>
        <v>0</v>
      </c>
      <c r="M87" s="294">
        <f>INDEX(AUXILIAR!I9:I284,'CÁLCULO REVISIÓN'!$B$27)</f>
        <v>41974</v>
      </c>
      <c r="N87" s="159"/>
      <c r="O87" s="159"/>
      <c r="P87" s="159"/>
      <c r="Q87" s="159"/>
      <c r="R87" s="159"/>
      <c r="S87" s="159"/>
      <c r="T87" s="47"/>
      <c r="U87" s="47"/>
      <c r="V87" s="47"/>
      <c r="W87" s="47"/>
      <c r="X87" s="47"/>
      <c r="Y87" s="47"/>
      <c r="Z87" s="47"/>
    </row>
    <row r="88" spans="1:26" s="4" customFormat="1" ht="12.75">
      <c r="A88" s="292">
        <f t="shared" si="4"/>
        <v>10</v>
      </c>
      <c r="B88" s="300">
        <f t="shared" si="5"/>
        <v>229</v>
      </c>
      <c r="C88" s="458">
        <f>IF($B35&gt;AUXILIAR!$A$39,0,INDEX(INDICES!$C$11:$K$313,'CÁLCULO REVISIÓN'!$B35,1))</f>
        <v>0</v>
      </c>
      <c r="D88" s="458">
        <f>IF($B35&gt;AUXILIAR!$A$39,0,INDEX(INDICES!$C$11:$K$313,'CÁLCULO REVISIÓN'!$B35,2))</f>
        <v>0</v>
      </c>
      <c r="E88" s="458">
        <f>IF($B35&gt;AUXILIAR!$A$39,0,INDEX(INDICES!$C$11:$K$313,'CÁLCULO REVISIÓN'!$B35,3))</f>
        <v>0</v>
      </c>
      <c r="F88" s="458">
        <f>IF($B35&gt;AUXILIAR!$A$39,0,INDEX(INDICES!$C$11:$K$313,'CÁLCULO REVISIÓN'!$B35,4))</f>
        <v>0</v>
      </c>
      <c r="G88" s="458">
        <f>IF($B35&gt;AUXILIAR!$A$39,0,INDEX(INDICES!$C$11:$K$313,'CÁLCULO REVISIÓN'!$B35,5))</f>
        <v>0</v>
      </c>
      <c r="H88" s="458">
        <f>IF($B35&gt;AUXILIAR!$A$39,0,INDEX(INDICES!$C$11:$K$313,'CÁLCULO REVISIÓN'!$B35,6))</f>
        <v>0</v>
      </c>
      <c r="I88" s="458">
        <f>IF($B35&gt;AUXILIAR!$A$39,0,INDEX(INDICES!$C$11:$K$313,'CÁLCULO REVISIÓN'!$B35,7))</f>
        <v>0</v>
      </c>
      <c r="J88" s="458">
        <f>IF($B35&gt;AUXILIAR!$A$39,0,INDEX(INDICES!$C$11:$K$313,'CÁLCULO REVISIÓN'!$B35,8))</f>
        <v>0</v>
      </c>
      <c r="K88" s="458">
        <f>IF($B35&gt;AUXILIAR!$A$39,0,INDEX(INDICES!$C$11:$K$313,'CÁLCULO REVISIÓN'!$B35,9))</f>
        <v>0</v>
      </c>
      <c r="L88" s="293">
        <f>IF(AUXILIAR!$D$11=2,IF($B88&gt;AUXILIAR!$A$39,0,$C$19*C88/$D$22+$D$19*H88/$I$22+$E$19*D88/$E$22+$F$19*G88/$H$22+$G$19*K88/$L$22+$H$19*E88/$F$22+$I$19*F88/$G$22+$J$19*J88/$K$22+$K$19*I88/$J$22+$L$19),0)</f>
        <v>0</v>
      </c>
      <c r="M88" s="294">
        <f>INDEX(AUXILIAR!I10:I285,'CÁLCULO REVISIÓN'!$B$27)</f>
        <v>42005</v>
      </c>
      <c r="N88" s="159"/>
      <c r="O88" s="159"/>
      <c r="P88" s="159"/>
      <c r="Q88" s="159"/>
      <c r="R88" s="159"/>
      <c r="S88" s="159"/>
      <c r="T88" s="47"/>
      <c r="U88" s="47"/>
      <c r="V88" s="47"/>
      <c r="W88" s="47"/>
      <c r="X88" s="47"/>
      <c r="Y88" s="47"/>
      <c r="Z88" s="47"/>
    </row>
    <row r="89" spans="1:26" s="4" customFormat="1" ht="12.75">
      <c r="A89" s="292">
        <f t="shared" si="4"/>
        <v>11</v>
      </c>
      <c r="B89" s="300">
        <f t="shared" si="5"/>
        <v>230</v>
      </c>
      <c r="C89" s="458">
        <f>IF($B36&gt;AUXILIAR!$A$39,0,INDEX(INDICES!$C$11:$K$313,'CÁLCULO REVISIÓN'!$B36,1))</f>
        <v>0</v>
      </c>
      <c r="D89" s="458">
        <f>IF($B36&gt;AUXILIAR!$A$39,0,INDEX(INDICES!$C$11:$K$313,'CÁLCULO REVISIÓN'!$B36,2))</f>
        <v>0</v>
      </c>
      <c r="E89" s="458">
        <f>IF($B36&gt;AUXILIAR!$A$39,0,INDEX(INDICES!$C$11:$K$313,'CÁLCULO REVISIÓN'!$B36,3))</f>
        <v>0</v>
      </c>
      <c r="F89" s="458">
        <f>IF($B36&gt;AUXILIAR!$A$39,0,INDEX(INDICES!$C$11:$K$313,'CÁLCULO REVISIÓN'!$B36,4))</f>
        <v>0</v>
      </c>
      <c r="G89" s="458">
        <f>IF($B36&gt;AUXILIAR!$A$39,0,INDEX(INDICES!$C$11:$K$313,'CÁLCULO REVISIÓN'!$B36,5))</f>
        <v>0</v>
      </c>
      <c r="H89" s="458">
        <f>IF($B36&gt;AUXILIAR!$A$39,0,INDEX(INDICES!$C$11:$K$313,'CÁLCULO REVISIÓN'!$B36,6))</f>
        <v>0</v>
      </c>
      <c r="I89" s="458">
        <f>IF($B36&gt;AUXILIAR!$A$39,0,INDEX(INDICES!$C$11:$K$313,'CÁLCULO REVISIÓN'!$B36,7))</f>
        <v>0</v>
      </c>
      <c r="J89" s="458">
        <f>IF($B36&gt;AUXILIAR!$A$39,0,INDEX(INDICES!$C$11:$K$313,'CÁLCULO REVISIÓN'!$B36,8))</f>
        <v>0</v>
      </c>
      <c r="K89" s="458">
        <f>IF($B36&gt;AUXILIAR!$A$39,0,INDEX(INDICES!$C$11:$K$313,'CÁLCULO REVISIÓN'!$B36,9))</f>
        <v>0</v>
      </c>
      <c r="L89" s="293">
        <f>IF(AUXILIAR!$D$11=2,IF($B89&gt;AUXILIAR!$A$39,0,$C$19*C89/$D$22+$D$19*H89/$I$22+$E$19*D89/$E$22+$F$19*G89/$H$22+$G$19*K89/$L$22+$H$19*E89/$F$22+$I$19*F89/$G$22+$J$19*J89/$K$22+$K$19*I89/$J$22+$L$19),0)</f>
        <v>0</v>
      </c>
      <c r="M89" s="294">
        <f>INDEX(AUXILIAR!I11:I286,'CÁLCULO REVISIÓN'!$B$27)</f>
        <v>42036</v>
      </c>
      <c r="N89" s="159"/>
      <c r="O89" s="159"/>
      <c r="P89" s="159"/>
      <c r="Q89" s="159"/>
      <c r="R89" s="159"/>
      <c r="S89" s="159"/>
      <c r="T89" s="47"/>
      <c r="U89" s="47"/>
      <c r="V89" s="47"/>
      <c r="W89" s="47"/>
      <c r="X89" s="47"/>
      <c r="Y89" s="47"/>
      <c r="Z89" s="47"/>
    </row>
    <row r="90" spans="1:26" s="4" customFormat="1" ht="12.75">
      <c r="A90" s="292">
        <f t="shared" si="4"/>
        <v>12</v>
      </c>
      <c r="B90" s="300">
        <f t="shared" si="5"/>
        <v>231</v>
      </c>
      <c r="C90" s="458">
        <f>IF($B37&gt;AUXILIAR!$A$39,0,INDEX(INDICES!$C$11:$K$313,'CÁLCULO REVISIÓN'!$B37,1))</f>
        <v>0</v>
      </c>
      <c r="D90" s="458">
        <f>IF($B37&gt;AUXILIAR!$A$39,0,INDEX(INDICES!$C$11:$K$313,'CÁLCULO REVISIÓN'!$B37,2))</f>
        <v>0</v>
      </c>
      <c r="E90" s="458">
        <f>IF($B37&gt;AUXILIAR!$A$39,0,INDEX(INDICES!$C$11:$K$313,'CÁLCULO REVISIÓN'!$B37,3))</f>
        <v>0</v>
      </c>
      <c r="F90" s="458">
        <f>IF($B37&gt;AUXILIAR!$A$39,0,INDEX(INDICES!$C$11:$K$313,'CÁLCULO REVISIÓN'!$B37,4))</f>
        <v>0</v>
      </c>
      <c r="G90" s="458">
        <f>IF($B37&gt;AUXILIAR!$A$39,0,INDEX(INDICES!$C$11:$K$313,'CÁLCULO REVISIÓN'!$B37,5))</f>
        <v>0</v>
      </c>
      <c r="H90" s="458">
        <f>IF($B37&gt;AUXILIAR!$A$39,0,INDEX(INDICES!$C$11:$K$313,'CÁLCULO REVISIÓN'!$B37,6))</f>
        <v>0</v>
      </c>
      <c r="I90" s="458">
        <f>IF($B37&gt;AUXILIAR!$A$39,0,INDEX(INDICES!$C$11:$K$313,'CÁLCULO REVISIÓN'!$B37,7))</f>
        <v>0</v>
      </c>
      <c r="J90" s="458">
        <f>IF($B37&gt;AUXILIAR!$A$39,0,INDEX(INDICES!$C$11:$K$313,'CÁLCULO REVISIÓN'!$B37,8))</f>
        <v>0</v>
      </c>
      <c r="K90" s="458">
        <f>IF($B37&gt;AUXILIAR!$A$39,0,INDEX(INDICES!$C$11:$K$313,'CÁLCULO REVISIÓN'!$B37,9))</f>
        <v>0</v>
      </c>
      <c r="L90" s="293">
        <f>IF(AUXILIAR!$D$11=2,IF($B90&gt;AUXILIAR!$A$39,0,$C$19*C90/$D$22+$D$19*H90/$I$22+$E$19*D90/$E$22+$F$19*G90/$H$22+$G$19*K90/$L$22+$H$19*E90/$F$22+$I$19*F90/$G$22+$J$19*J90/$K$22+$K$19*I90/$J$22+$L$19),0)</f>
        <v>0</v>
      </c>
      <c r="M90" s="294">
        <f>INDEX(AUXILIAR!I12:I287,'CÁLCULO REVISIÓN'!$B$27)</f>
        <v>42064</v>
      </c>
      <c r="N90" s="159"/>
      <c r="O90" s="159"/>
      <c r="P90" s="159"/>
      <c r="Q90" s="159"/>
      <c r="R90" s="159"/>
      <c r="S90" s="159"/>
      <c r="T90" s="47"/>
      <c r="U90" s="47"/>
      <c r="V90" s="47"/>
      <c r="W90" s="47"/>
      <c r="X90" s="47"/>
      <c r="Y90" s="47"/>
      <c r="Z90" s="47"/>
    </row>
    <row r="91" spans="1:26" s="4" customFormat="1" ht="12.75">
      <c r="A91" s="292">
        <f t="shared" si="4"/>
        <v>13</v>
      </c>
      <c r="B91" s="300">
        <f t="shared" si="5"/>
        <v>232</v>
      </c>
      <c r="C91" s="458">
        <f>IF($B38&gt;AUXILIAR!$A$39,0,INDEX(INDICES!$C$11:$K$313,'CÁLCULO REVISIÓN'!$B38,1))</f>
        <v>0</v>
      </c>
      <c r="D91" s="458">
        <f>IF($B38&gt;AUXILIAR!$A$39,0,INDEX(INDICES!$C$11:$K$313,'CÁLCULO REVISIÓN'!$B38,2))</f>
        <v>0</v>
      </c>
      <c r="E91" s="458">
        <f>IF($B38&gt;AUXILIAR!$A$39,0,INDEX(INDICES!$C$11:$K$313,'CÁLCULO REVISIÓN'!$B38,3))</f>
        <v>0</v>
      </c>
      <c r="F91" s="458">
        <f>IF($B38&gt;AUXILIAR!$A$39,0,INDEX(INDICES!$C$11:$K$313,'CÁLCULO REVISIÓN'!$B38,4))</f>
        <v>0</v>
      </c>
      <c r="G91" s="458">
        <f>IF($B38&gt;AUXILIAR!$A$39,0,INDEX(INDICES!$C$11:$K$313,'CÁLCULO REVISIÓN'!$B38,5))</f>
        <v>0</v>
      </c>
      <c r="H91" s="458">
        <f>IF($B38&gt;AUXILIAR!$A$39,0,INDEX(INDICES!$C$11:$K$313,'CÁLCULO REVISIÓN'!$B38,6))</f>
        <v>0</v>
      </c>
      <c r="I91" s="458">
        <f>IF($B38&gt;AUXILIAR!$A$39,0,INDEX(INDICES!$C$11:$K$313,'CÁLCULO REVISIÓN'!$B38,7))</f>
        <v>0</v>
      </c>
      <c r="J91" s="458">
        <f>IF($B38&gt;AUXILIAR!$A$39,0,INDEX(INDICES!$C$11:$K$313,'CÁLCULO REVISIÓN'!$B38,8))</f>
        <v>0</v>
      </c>
      <c r="K91" s="458">
        <f>IF($B38&gt;AUXILIAR!$A$39,0,INDEX(INDICES!$C$11:$K$313,'CÁLCULO REVISIÓN'!$B38,9))</f>
        <v>0</v>
      </c>
      <c r="L91" s="293">
        <f>IF(AUXILIAR!$D$11=2,IF($B91&gt;AUXILIAR!$A$39,0,$C$19*C91/$D$22+$D$19*H91/$I$22+$E$19*D91/$E$22+$F$19*G91/$H$22+$G$19*K91/$L$22+$H$19*E91/$F$22+$I$19*F91/$G$22+$J$19*J91/$K$22+$K$19*I91/$J$22+$L$19),0)</f>
        <v>0</v>
      </c>
      <c r="M91" s="294">
        <f>INDEX(AUXILIAR!I13:I288,'CÁLCULO REVISIÓN'!$B$27)</f>
        <v>42095</v>
      </c>
      <c r="N91" s="159"/>
      <c r="O91" s="159"/>
      <c r="P91" s="159"/>
      <c r="Q91" s="159"/>
      <c r="R91" s="159"/>
      <c r="S91" s="159"/>
      <c r="T91" s="47"/>
      <c r="U91" s="47"/>
      <c r="V91" s="47"/>
      <c r="W91" s="47"/>
      <c r="X91" s="47"/>
      <c r="Y91" s="47"/>
      <c r="Z91" s="47"/>
    </row>
    <row r="92" spans="1:26" s="4" customFormat="1" ht="12.75">
      <c r="A92" s="292">
        <f t="shared" si="4"/>
        <v>14</v>
      </c>
      <c r="B92" s="300">
        <f t="shared" si="5"/>
        <v>233</v>
      </c>
      <c r="C92" s="458">
        <f>IF($B39&gt;AUXILIAR!$A$39,0,INDEX(INDICES!$C$11:$K$313,'CÁLCULO REVISIÓN'!$B39,1))</f>
        <v>0</v>
      </c>
      <c r="D92" s="458">
        <f>IF($B39&gt;AUXILIAR!$A$39,0,INDEX(INDICES!$C$11:$K$313,'CÁLCULO REVISIÓN'!$B39,2))</f>
        <v>0</v>
      </c>
      <c r="E92" s="458">
        <f>IF($B39&gt;AUXILIAR!$A$39,0,INDEX(INDICES!$C$11:$K$313,'CÁLCULO REVISIÓN'!$B39,3))</f>
        <v>0</v>
      </c>
      <c r="F92" s="458">
        <f>IF($B39&gt;AUXILIAR!$A$39,0,INDEX(INDICES!$C$11:$K$313,'CÁLCULO REVISIÓN'!$B39,4))</f>
        <v>0</v>
      </c>
      <c r="G92" s="458">
        <f>IF($B39&gt;AUXILIAR!$A$39,0,INDEX(INDICES!$C$11:$K$313,'CÁLCULO REVISIÓN'!$B39,5))</f>
        <v>0</v>
      </c>
      <c r="H92" s="458">
        <f>IF($B39&gt;AUXILIAR!$A$39,0,INDEX(INDICES!$C$11:$K$313,'CÁLCULO REVISIÓN'!$B39,6))</f>
        <v>0</v>
      </c>
      <c r="I92" s="458">
        <f>IF($B39&gt;AUXILIAR!$A$39,0,INDEX(INDICES!$C$11:$K$313,'CÁLCULO REVISIÓN'!$B39,7))</f>
        <v>0</v>
      </c>
      <c r="J92" s="458">
        <f>IF($B39&gt;AUXILIAR!$A$39,0,INDEX(INDICES!$C$11:$K$313,'CÁLCULO REVISIÓN'!$B39,8))</f>
        <v>0</v>
      </c>
      <c r="K92" s="458">
        <f>IF($B39&gt;AUXILIAR!$A$39,0,INDEX(INDICES!$C$11:$K$313,'CÁLCULO REVISIÓN'!$B39,9))</f>
        <v>0</v>
      </c>
      <c r="L92" s="293">
        <f>IF(AUXILIAR!$D$11=2,IF($B92&gt;AUXILIAR!$A$39,0,$C$19*C92/$D$22+$D$19*H92/$I$22+$E$19*D92/$E$22+$F$19*G92/$H$22+$G$19*K92/$L$22+$H$19*E92/$F$22+$I$19*F92/$G$22+$J$19*J92/$K$22+$K$19*I92/$J$22+$L$19),0)</f>
        <v>0</v>
      </c>
      <c r="M92" s="294">
        <f>INDEX(AUXILIAR!I14:I289,'CÁLCULO REVISIÓN'!$B$27)</f>
        <v>42125</v>
      </c>
      <c r="N92" s="159"/>
      <c r="O92" s="159"/>
      <c r="P92" s="159"/>
      <c r="Q92" s="159"/>
      <c r="R92" s="159"/>
      <c r="S92" s="159"/>
      <c r="T92" s="47"/>
      <c r="U92" s="47"/>
      <c r="V92" s="47"/>
      <c r="W92" s="47"/>
      <c r="X92" s="47"/>
      <c r="Y92" s="47"/>
      <c r="Z92" s="47"/>
    </row>
    <row r="93" spans="1:26" s="4" customFormat="1" ht="12.75">
      <c r="A93" s="292">
        <f t="shared" si="4"/>
        <v>15</v>
      </c>
      <c r="B93" s="300">
        <f t="shared" si="5"/>
        <v>234</v>
      </c>
      <c r="C93" s="458">
        <f>IF($B40&gt;AUXILIAR!$A$39,0,INDEX(INDICES!$C$11:$K$313,'CÁLCULO REVISIÓN'!$B40,1))</f>
        <v>0</v>
      </c>
      <c r="D93" s="458">
        <f>IF($B40&gt;AUXILIAR!$A$39,0,INDEX(INDICES!$C$11:$K$313,'CÁLCULO REVISIÓN'!$B40,2))</f>
        <v>0</v>
      </c>
      <c r="E93" s="458">
        <f>IF($B40&gt;AUXILIAR!$A$39,0,INDEX(INDICES!$C$11:$K$313,'CÁLCULO REVISIÓN'!$B40,3))</f>
        <v>0</v>
      </c>
      <c r="F93" s="458">
        <f>IF($B40&gt;AUXILIAR!$A$39,0,INDEX(INDICES!$C$11:$K$313,'CÁLCULO REVISIÓN'!$B40,4))</f>
        <v>0</v>
      </c>
      <c r="G93" s="458">
        <f>IF($B40&gt;AUXILIAR!$A$39,0,INDEX(INDICES!$C$11:$K$313,'CÁLCULO REVISIÓN'!$B40,5))</f>
        <v>0</v>
      </c>
      <c r="H93" s="458">
        <f>IF($B40&gt;AUXILIAR!$A$39,0,INDEX(INDICES!$C$11:$K$313,'CÁLCULO REVISIÓN'!$B40,6))</f>
        <v>0</v>
      </c>
      <c r="I93" s="458">
        <f>IF($B40&gt;AUXILIAR!$A$39,0,INDEX(INDICES!$C$11:$K$313,'CÁLCULO REVISIÓN'!$B40,7))</f>
        <v>0</v>
      </c>
      <c r="J93" s="458">
        <f>IF($B40&gt;AUXILIAR!$A$39,0,INDEX(INDICES!$C$11:$K$313,'CÁLCULO REVISIÓN'!$B40,8))</f>
        <v>0</v>
      </c>
      <c r="K93" s="458">
        <f>IF($B40&gt;AUXILIAR!$A$39,0,INDEX(INDICES!$C$11:$K$313,'CÁLCULO REVISIÓN'!$B40,9))</f>
        <v>0</v>
      </c>
      <c r="L93" s="293">
        <f>IF(AUXILIAR!$D$11=2,IF($B93&gt;AUXILIAR!$A$39,0,$C$19*C93/$D$22+$D$19*H93/$I$22+$E$19*D93/$E$22+$F$19*G93/$H$22+$G$19*K93/$L$22+$H$19*E93/$F$22+$I$19*F93/$G$22+$J$19*J93/$K$22+$K$19*I93/$J$22+$L$19),0)</f>
        <v>0</v>
      </c>
      <c r="M93" s="294">
        <f>INDEX(AUXILIAR!I15:I290,'CÁLCULO REVISIÓN'!$B$27)</f>
        <v>42156</v>
      </c>
      <c r="N93" s="159"/>
      <c r="O93" s="159"/>
      <c r="P93" s="159"/>
      <c r="Q93" s="159"/>
      <c r="R93" s="159"/>
      <c r="S93" s="159"/>
      <c r="T93" s="47"/>
      <c r="U93" s="47"/>
      <c r="V93" s="47"/>
      <c r="W93" s="47"/>
      <c r="X93" s="47"/>
      <c r="Y93" s="47"/>
      <c r="Z93" s="47"/>
    </row>
    <row r="94" spans="1:26" s="4" customFormat="1" ht="12.75">
      <c r="A94" s="292">
        <f t="shared" si="4"/>
        <v>16</v>
      </c>
      <c r="B94" s="300">
        <f t="shared" si="5"/>
        <v>235</v>
      </c>
      <c r="C94" s="458">
        <f>IF($B41&gt;AUXILIAR!$A$39,0,INDEX(INDICES!$C$11:$K$313,'CÁLCULO REVISIÓN'!$B41,1))</f>
        <v>0</v>
      </c>
      <c r="D94" s="458">
        <f>IF($B41&gt;AUXILIAR!$A$39,0,INDEX(INDICES!$C$11:$K$313,'CÁLCULO REVISIÓN'!$B41,2))</f>
        <v>0</v>
      </c>
      <c r="E94" s="458">
        <f>IF($B41&gt;AUXILIAR!$A$39,0,INDEX(INDICES!$C$11:$K$313,'CÁLCULO REVISIÓN'!$B41,3))</f>
        <v>0</v>
      </c>
      <c r="F94" s="458">
        <f>IF($B41&gt;AUXILIAR!$A$39,0,INDEX(INDICES!$C$11:$K$313,'CÁLCULO REVISIÓN'!$B41,4))</f>
        <v>0</v>
      </c>
      <c r="G94" s="458">
        <f>IF($B41&gt;AUXILIAR!$A$39,0,INDEX(INDICES!$C$11:$K$313,'CÁLCULO REVISIÓN'!$B41,5))</f>
        <v>0</v>
      </c>
      <c r="H94" s="458">
        <f>IF($B41&gt;AUXILIAR!$A$39,0,INDEX(INDICES!$C$11:$K$313,'CÁLCULO REVISIÓN'!$B41,6))</f>
        <v>0</v>
      </c>
      <c r="I94" s="458">
        <f>IF($B41&gt;AUXILIAR!$A$39,0,INDEX(INDICES!$C$11:$K$313,'CÁLCULO REVISIÓN'!$B41,7))</f>
        <v>0</v>
      </c>
      <c r="J94" s="458">
        <f>IF($B41&gt;AUXILIAR!$A$39,0,INDEX(INDICES!$C$11:$K$313,'CÁLCULO REVISIÓN'!$B41,8))</f>
        <v>0</v>
      </c>
      <c r="K94" s="458">
        <f>IF($B41&gt;AUXILIAR!$A$39,0,INDEX(INDICES!$C$11:$K$313,'CÁLCULO REVISIÓN'!$B41,9))</f>
        <v>0</v>
      </c>
      <c r="L94" s="293">
        <f>IF(AUXILIAR!$D$11=2,IF($B94&gt;AUXILIAR!$A$39,0,$C$19*C94/$D$22+$D$19*H94/$I$22+$E$19*D94/$E$22+$F$19*G94/$H$22+$G$19*K94/$L$22+$H$19*E94/$F$22+$I$19*F94/$G$22+$J$19*J94/$K$22+$K$19*I94/$J$22+$L$19),0)</f>
        <v>0</v>
      </c>
      <c r="M94" s="294">
        <f>INDEX(AUXILIAR!I16:I291,'CÁLCULO REVISIÓN'!$B$27)</f>
        <v>42186</v>
      </c>
      <c r="N94" s="159"/>
      <c r="O94" s="159"/>
      <c r="P94" s="159"/>
      <c r="Q94" s="159"/>
      <c r="R94" s="159"/>
      <c r="S94" s="159"/>
      <c r="T94" s="47"/>
      <c r="U94" s="47"/>
      <c r="V94" s="47"/>
      <c r="W94" s="47"/>
      <c r="X94" s="47"/>
      <c r="Y94" s="47"/>
      <c r="Z94" s="47"/>
    </row>
    <row r="95" spans="1:26" s="4" customFormat="1" ht="12.75">
      <c r="A95" s="292">
        <f t="shared" si="4"/>
        <v>17</v>
      </c>
      <c r="B95" s="300">
        <f t="shared" si="5"/>
        <v>236</v>
      </c>
      <c r="C95" s="458">
        <f>IF($B42&gt;AUXILIAR!$A$39,0,INDEX(INDICES!$C$11:$K$313,'CÁLCULO REVISIÓN'!$B42,1))</f>
        <v>0</v>
      </c>
      <c r="D95" s="458">
        <f>IF($B42&gt;AUXILIAR!$A$39,0,INDEX(INDICES!$C$11:$K$313,'CÁLCULO REVISIÓN'!$B42,2))</f>
        <v>0</v>
      </c>
      <c r="E95" s="458">
        <f>IF($B42&gt;AUXILIAR!$A$39,0,INDEX(INDICES!$C$11:$K$313,'CÁLCULO REVISIÓN'!$B42,3))</f>
        <v>0</v>
      </c>
      <c r="F95" s="458">
        <f>IF($B42&gt;AUXILIAR!$A$39,0,INDEX(INDICES!$C$11:$K$313,'CÁLCULO REVISIÓN'!$B42,4))</f>
        <v>0</v>
      </c>
      <c r="G95" s="458">
        <f>IF($B42&gt;AUXILIAR!$A$39,0,INDEX(INDICES!$C$11:$K$313,'CÁLCULO REVISIÓN'!$B42,5))</f>
        <v>0</v>
      </c>
      <c r="H95" s="458">
        <f>IF($B42&gt;AUXILIAR!$A$39,0,INDEX(INDICES!$C$11:$K$313,'CÁLCULO REVISIÓN'!$B42,6))</f>
        <v>0</v>
      </c>
      <c r="I95" s="458">
        <f>IF($B42&gt;AUXILIAR!$A$39,0,INDEX(INDICES!$C$11:$K$313,'CÁLCULO REVISIÓN'!$B42,7))</f>
        <v>0</v>
      </c>
      <c r="J95" s="458">
        <f>IF($B42&gt;AUXILIAR!$A$39,0,INDEX(INDICES!$C$11:$K$313,'CÁLCULO REVISIÓN'!$B42,8))</f>
        <v>0</v>
      </c>
      <c r="K95" s="458">
        <f>IF($B42&gt;AUXILIAR!$A$39,0,INDEX(INDICES!$C$11:$K$313,'CÁLCULO REVISIÓN'!$B42,9))</f>
        <v>0</v>
      </c>
      <c r="L95" s="293">
        <f>IF(AUXILIAR!$D$11=2,IF($B95&gt;AUXILIAR!$A$39,0,$C$19*C95/$D$22+$D$19*H95/$I$22+$E$19*D95/$E$22+$F$19*G95/$H$22+$G$19*K95/$L$22+$H$19*E95/$F$22+$I$19*F95/$G$22+$J$19*J95/$K$22+$K$19*I95/$J$22+$L$19),0)</f>
        <v>0</v>
      </c>
      <c r="M95" s="294">
        <f>INDEX(AUXILIAR!I17:I292,'CÁLCULO REVISIÓN'!$B$27)</f>
        <v>42217</v>
      </c>
      <c r="N95" s="159"/>
      <c r="O95" s="159"/>
      <c r="P95" s="159"/>
      <c r="Q95" s="159"/>
      <c r="R95" s="159"/>
      <c r="S95" s="159"/>
      <c r="T95" s="47"/>
      <c r="U95" s="47"/>
      <c r="V95" s="47"/>
      <c r="W95" s="47"/>
      <c r="X95" s="47"/>
      <c r="Y95" s="47"/>
      <c r="Z95" s="47"/>
    </row>
    <row r="96" spans="1:26" s="4" customFormat="1" ht="12.75">
      <c r="A96" s="292">
        <f t="shared" si="4"/>
        <v>18</v>
      </c>
      <c r="B96" s="300">
        <f t="shared" si="5"/>
        <v>237</v>
      </c>
      <c r="C96" s="458">
        <f>IF($B43&gt;AUXILIAR!$A$39,0,INDEX(INDICES!$C$11:$K$313,'CÁLCULO REVISIÓN'!$B43,1))</f>
        <v>0</v>
      </c>
      <c r="D96" s="458">
        <f>IF($B43&gt;AUXILIAR!$A$39,0,INDEX(INDICES!$C$11:$K$313,'CÁLCULO REVISIÓN'!$B43,2))</f>
        <v>0</v>
      </c>
      <c r="E96" s="458">
        <f>IF($B43&gt;AUXILIAR!$A$39,0,INDEX(INDICES!$C$11:$K$313,'CÁLCULO REVISIÓN'!$B43,3))</f>
        <v>0</v>
      </c>
      <c r="F96" s="458">
        <f>IF($B43&gt;AUXILIAR!$A$39,0,INDEX(INDICES!$C$11:$K$313,'CÁLCULO REVISIÓN'!$B43,4))</f>
        <v>0</v>
      </c>
      <c r="G96" s="458">
        <f>IF($B43&gt;AUXILIAR!$A$39,0,INDEX(INDICES!$C$11:$K$313,'CÁLCULO REVISIÓN'!$B43,5))</f>
        <v>0</v>
      </c>
      <c r="H96" s="458">
        <f>IF($B43&gt;AUXILIAR!$A$39,0,INDEX(INDICES!$C$11:$K$313,'CÁLCULO REVISIÓN'!$B43,6))</f>
        <v>0</v>
      </c>
      <c r="I96" s="458">
        <f>IF($B43&gt;AUXILIAR!$A$39,0,INDEX(INDICES!$C$11:$K$313,'CÁLCULO REVISIÓN'!$B43,7))</f>
        <v>0</v>
      </c>
      <c r="J96" s="458">
        <f>IF($B43&gt;AUXILIAR!$A$39,0,INDEX(INDICES!$C$11:$K$313,'CÁLCULO REVISIÓN'!$B43,8))</f>
        <v>0</v>
      </c>
      <c r="K96" s="458">
        <f>IF($B43&gt;AUXILIAR!$A$39,0,INDEX(INDICES!$C$11:$K$313,'CÁLCULO REVISIÓN'!$B43,9))</f>
        <v>0</v>
      </c>
      <c r="L96" s="293">
        <f>IF(AUXILIAR!$D$11=2,IF($B96&gt;AUXILIAR!$A$39,0,$C$19*C96/$D$22+$D$19*H96/$I$22+$E$19*D96/$E$22+$F$19*G96/$H$22+$G$19*K96/$L$22+$H$19*E96/$F$22+$I$19*F96/$G$22+$J$19*J96/$K$22+$K$19*I96/$J$22+$L$19),0)</f>
        <v>0</v>
      </c>
      <c r="M96" s="294">
        <f>INDEX(AUXILIAR!I18:I293,'CÁLCULO REVISIÓN'!$B$27)</f>
        <v>42248</v>
      </c>
      <c r="N96" s="159"/>
      <c r="O96" s="159"/>
      <c r="P96" s="159"/>
      <c r="Q96" s="159"/>
      <c r="R96" s="159"/>
      <c r="S96" s="159"/>
      <c r="T96" s="47"/>
      <c r="U96" s="47"/>
      <c r="V96" s="47"/>
      <c r="W96" s="47"/>
      <c r="X96" s="47"/>
      <c r="Y96" s="47"/>
      <c r="Z96" s="47"/>
    </row>
    <row r="97" spans="1:26" s="4" customFormat="1" ht="12.75">
      <c r="A97" s="292">
        <f t="shared" si="4"/>
        <v>19</v>
      </c>
      <c r="B97" s="300">
        <f t="shared" si="5"/>
        <v>238</v>
      </c>
      <c r="C97" s="458">
        <f>IF($B44&gt;AUXILIAR!$A$39,0,INDEX(INDICES!$C$11:$K$313,'CÁLCULO REVISIÓN'!$B44,1))</f>
        <v>0</v>
      </c>
      <c r="D97" s="458">
        <f>IF($B44&gt;AUXILIAR!$A$39,0,INDEX(INDICES!$C$11:$K$313,'CÁLCULO REVISIÓN'!$B44,2))</f>
        <v>0</v>
      </c>
      <c r="E97" s="458">
        <f>IF($B44&gt;AUXILIAR!$A$39,0,INDEX(INDICES!$C$11:$K$313,'CÁLCULO REVISIÓN'!$B44,3))</f>
        <v>0</v>
      </c>
      <c r="F97" s="458">
        <f>IF($B44&gt;AUXILIAR!$A$39,0,INDEX(INDICES!$C$11:$K$313,'CÁLCULO REVISIÓN'!$B44,4))</f>
        <v>0</v>
      </c>
      <c r="G97" s="458">
        <f>IF($B44&gt;AUXILIAR!$A$39,0,INDEX(INDICES!$C$11:$K$313,'CÁLCULO REVISIÓN'!$B44,5))</f>
        <v>0</v>
      </c>
      <c r="H97" s="458">
        <f>IF($B44&gt;AUXILIAR!$A$39,0,INDEX(INDICES!$C$11:$K$313,'CÁLCULO REVISIÓN'!$B44,6))</f>
        <v>0</v>
      </c>
      <c r="I97" s="458">
        <f>IF($B44&gt;AUXILIAR!$A$39,0,INDEX(INDICES!$C$11:$K$313,'CÁLCULO REVISIÓN'!$B44,7))</f>
        <v>0</v>
      </c>
      <c r="J97" s="458">
        <f>IF($B44&gt;AUXILIAR!$A$39,0,INDEX(INDICES!$C$11:$K$313,'CÁLCULO REVISIÓN'!$B44,8))</f>
        <v>0</v>
      </c>
      <c r="K97" s="458">
        <f>IF($B44&gt;AUXILIAR!$A$39,0,INDEX(INDICES!$C$11:$K$313,'CÁLCULO REVISIÓN'!$B44,9))</f>
        <v>0</v>
      </c>
      <c r="L97" s="293">
        <f>IF(AUXILIAR!$D$11=2,IF($B97&gt;AUXILIAR!$A$39,0,$C$19*C97/$D$22+$D$19*H97/$I$22+$E$19*D97/$E$22+$F$19*G97/$H$22+$G$19*K97/$L$22+$H$19*E97/$F$22+$I$19*F97/$G$22+$J$19*J97/$K$22+$K$19*I97/$J$22+$L$19),0)</f>
        <v>0</v>
      </c>
      <c r="M97" s="294">
        <f>INDEX(AUXILIAR!I19:I294,'CÁLCULO REVISIÓN'!$B$27)</f>
        <v>42278</v>
      </c>
      <c r="N97" s="159"/>
      <c r="O97" s="159"/>
      <c r="P97" s="159"/>
      <c r="Q97" s="159"/>
      <c r="R97" s="159"/>
      <c r="S97" s="159"/>
      <c r="T97" s="47"/>
      <c r="U97" s="47"/>
      <c r="V97" s="47"/>
      <c r="W97" s="47"/>
      <c r="X97" s="47"/>
      <c r="Y97" s="47"/>
      <c r="Z97" s="47"/>
    </row>
    <row r="98" spans="1:26" s="4" customFormat="1" ht="12.75">
      <c r="A98" s="292">
        <f t="shared" si="4"/>
        <v>20</v>
      </c>
      <c r="B98" s="300">
        <f t="shared" si="5"/>
        <v>239</v>
      </c>
      <c r="C98" s="458">
        <f>IF($B45&gt;AUXILIAR!$A$39,0,INDEX(INDICES!$C$11:$K$313,'CÁLCULO REVISIÓN'!$B45,1))</f>
        <v>0</v>
      </c>
      <c r="D98" s="458">
        <f>IF($B45&gt;AUXILIAR!$A$39,0,INDEX(INDICES!$C$11:$K$313,'CÁLCULO REVISIÓN'!$B45,2))</f>
        <v>0</v>
      </c>
      <c r="E98" s="458">
        <f>IF($B45&gt;AUXILIAR!$A$39,0,INDEX(INDICES!$C$11:$K$313,'CÁLCULO REVISIÓN'!$B45,3))</f>
        <v>0</v>
      </c>
      <c r="F98" s="458">
        <f>IF($B45&gt;AUXILIAR!$A$39,0,INDEX(INDICES!$C$11:$K$313,'CÁLCULO REVISIÓN'!$B45,4))</f>
        <v>0</v>
      </c>
      <c r="G98" s="458">
        <f>IF($B45&gt;AUXILIAR!$A$39,0,INDEX(INDICES!$C$11:$K$313,'CÁLCULO REVISIÓN'!$B45,5))</f>
        <v>0</v>
      </c>
      <c r="H98" s="458">
        <f>IF($B45&gt;AUXILIAR!$A$39,0,INDEX(INDICES!$C$11:$K$313,'CÁLCULO REVISIÓN'!$B45,6))</f>
        <v>0</v>
      </c>
      <c r="I98" s="458">
        <f>IF($B45&gt;AUXILIAR!$A$39,0,INDEX(INDICES!$C$11:$K$313,'CÁLCULO REVISIÓN'!$B45,7))</f>
        <v>0</v>
      </c>
      <c r="J98" s="458">
        <f>IF($B45&gt;AUXILIAR!$A$39,0,INDEX(INDICES!$C$11:$K$313,'CÁLCULO REVISIÓN'!$B45,8))</f>
        <v>0</v>
      </c>
      <c r="K98" s="458">
        <f>IF($B45&gt;AUXILIAR!$A$39,0,INDEX(INDICES!$C$11:$K$313,'CÁLCULO REVISIÓN'!$B45,9))</f>
        <v>0</v>
      </c>
      <c r="L98" s="293">
        <f>IF(AUXILIAR!$D$11=2,IF($B98&gt;AUXILIAR!$A$39,0,$C$19*C98/$D$22+$D$19*H98/$I$22+$E$19*D98/$E$22+$F$19*G98/$H$22+$G$19*K98/$L$22+$H$19*E98/$F$22+$I$19*F98/$G$22+$J$19*J98/$K$22+$K$19*I98/$J$22+$L$19),0)</f>
        <v>0</v>
      </c>
      <c r="M98" s="294">
        <f>INDEX(AUXILIAR!I20:I295,'CÁLCULO REVISIÓN'!$B$27)</f>
        <v>42309</v>
      </c>
      <c r="N98" s="159"/>
      <c r="O98" s="159"/>
      <c r="P98" s="159"/>
      <c r="Q98" s="159"/>
      <c r="R98" s="159"/>
      <c r="S98" s="159"/>
      <c r="T98" s="47"/>
      <c r="U98" s="47"/>
      <c r="V98" s="47"/>
      <c r="W98" s="47"/>
      <c r="X98" s="47"/>
      <c r="Y98" s="47"/>
      <c r="Z98" s="47"/>
    </row>
    <row r="99" spans="1:26" s="4" customFormat="1" ht="12.75">
      <c r="A99" s="292">
        <f t="shared" si="4"/>
        <v>21</v>
      </c>
      <c r="B99" s="300">
        <f t="shared" si="5"/>
        <v>240</v>
      </c>
      <c r="C99" s="458">
        <f>IF($B46&gt;AUXILIAR!$A$39,0,INDEX(INDICES!$C$11:$K$313,'CÁLCULO REVISIÓN'!$B46,1))</f>
        <v>0</v>
      </c>
      <c r="D99" s="458">
        <f>IF($B46&gt;AUXILIAR!$A$39,0,INDEX(INDICES!$C$11:$K$313,'CÁLCULO REVISIÓN'!$B46,2))</f>
        <v>0</v>
      </c>
      <c r="E99" s="458">
        <f>IF($B46&gt;AUXILIAR!$A$39,0,INDEX(INDICES!$C$11:$K$313,'CÁLCULO REVISIÓN'!$B46,3))</f>
        <v>0</v>
      </c>
      <c r="F99" s="458">
        <f>IF($B46&gt;AUXILIAR!$A$39,0,INDEX(INDICES!$C$11:$K$313,'CÁLCULO REVISIÓN'!$B46,4))</f>
        <v>0</v>
      </c>
      <c r="G99" s="458">
        <f>IF($B46&gt;AUXILIAR!$A$39,0,INDEX(INDICES!$C$11:$K$313,'CÁLCULO REVISIÓN'!$B46,5))</f>
        <v>0</v>
      </c>
      <c r="H99" s="458">
        <f>IF($B46&gt;AUXILIAR!$A$39,0,INDEX(INDICES!$C$11:$K$313,'CÁLCULO REVISIÓN'!$B46,6))</f>
        <v>0</v>
      </c>
      <c r="I99" s="458">
        <f>IF($B46&gt;AUXILIAR!$A$39,0,INDEX(INDICES!$C$11:$K$313,'CÁLCULO REVISIÓN'!$B46,7))</f>
        <v>0</v>
      </c>
      <c r="J99" s="458">
        <f>IF($B46&gt;AUXILIAR!$A$39,0,INDEX(INDICES!$C$11:$K$313,'CÁLCULO REVISIÓN'!$B46,8))</f>
        <v>0</v>
      </c>
      <c r="K99" s="458">
        <f>IF($B46&gt;AUXILIAR!$A$39,0,INDEX(INDICES!$C$11:$K$313,'CÁLCULO REVISIÓN'!$B46,9))</f>
        <v>0</v>
      </c>
      <c r="L99" s="293">
        <f>IF(AUXILIAR!$D$11=2,IF($B99&gt;AUXILIAR!$A$39,0,$C$19*C99/$D$22+$D$19*H99/$I$22+$E$19*D99/$E$22+$F$19*G99/$H$22+$G$19*K99/$L$22+$H$19*E99/$F$22+$I$19*F99/$G$22+$J$19*J99/$K$22+$K$19*I99/$J$22+$L$19),0)</f>
        <v>0</v>
      </c>
      <c r="M99" s="294">
        <f>INDEX(AUXILIAR!I21:I296,'CÁLCULO REVISIÓN'!$B$27)</f>
        <v>42339</v>
      </c>
      <c r="N99" s="159"/>
      <c r="O99" s="159"/>
      <c r="P99" s="159"/>
      <c r="Q99" s="159"/>
      <c r="R99" s="159"/>
      <c r="S99" s="159"/>
      <c r="T99" s="47"/>
      <c r="U99" s="47"/>
      <c r="V99" s="47"/>
      <c r="W99" s="47"/>
      <c r="X99" s="47"/>
      <c r="Y99" s="47"/>
      <c r="Z99" s="47"/>
    </row>
    <row r="100" spans="1:26" s="4" customFormat="1" ht="12.75">
      <c r="A100" s="292">
        <f t="shared" si="4"/>
        <v>22</v>
      </c>
      <c r="B100" s="300">
        <f t="shared" si="5"/>
        <v>241</v>
      </c>
      <c r="C100" s="458">
        <f>IF($B47&gt;AUXILIAR!$A$39,0,INDEX(INDICES!$C$11:$K$313,'CÁLCULO REVISIÓN'!$B47,1))</f>
        <v>0</v>
      </c>
      <c r="D100" s="458">
        <f>IF($B47&gt;AUXILIAR!$A$39,0,INDEX(INDICES!$C$11:$K$313,'CÁLCULO REVISIÓN'!$B47,2))</f>
        <v>0</v>
      </c>
      <c r="E100" s="458">
        <f>IF($B47&gt;AUXILIAR!$A$39,0,INDEX(INDICES!$C$11:$K$313,'CÁLCULO REVISIÓN'!$B47,3))</f>
        <v>0</v>
      </c>
      <c r="F100" s="458">
        <f>IF($B47&gt;AUXILIAR!$A$39,0,INDEX(INDICES!$C$11:$K$313,'CÁLCULO REVISIÓN'!$B47,4))</f>
        <v>0</v>
      </c>
      <c r="G100" s="458">
        <f>IF($B47&gt;AUXILIAR!$A$39,0,INDEX(INDICES!$C$11:$K$313,'CÁLCULO REVISIÓN'!$B47,5))</f>
        <v>0</v>
      </c>
      <c r="H100" s="458">
        <f>IF($B47&gt;AUXILIAR!$A$39,0,INDEX(INDICES!$C$11:$K$313,'CÁLCULO REVISIÓN'!$B47,6))</f>
        <v>0</v>
      </c>
      <c r="I100" s="458">
        <f>IF($B47&gt;AUXILIAR!$A$39,0,INDEX(INDICES!$C$11:$K$313,'CÁLCULO REVISIÓN'!$B47,7))</f>
        <v>0</v>
      </c>
      <c r="J100" s="458">
        <f>IF($B47&gt;AUXILIAR!$A$39,0,INDEX(INDICES!$C$11:$K$313,'CÁLCULO REVISIÓN'!$B47,8))</f>
        <v>0</v>
      </c>
      <c r="K100" s="458">
        <f>IF($B47&gt;AUXILIAR!$A$39,0,INDEX(INDICES!$C$11:$K$313,'CÁLCULO REVISIÓN'!$B47,9))</f>
        <v>0</v>
      </c>
      <c r="L100" s="293">
        <f>IF(AUXILIAR!$D$11=2,IF($B100&gt;AUXILIAR!$A$39,0,$C$19*C100/$D$22+$D$19*H100/$I$22+$E$19*D100/$E$22+$F$19*G100/$H$22+$G$19*K100/$L$22+$H$19*E100/$F$22+$I$19*F100/$G$22+$J$19*J100/$K$22+$K$19*I100/$J$22+$L$19),0)</f>
        <v>0</v>
      </c>
      <c r="M100" s="294">
        <f>INDEX(AUXILIAR!I22:I297,'CÁLCULO REVISIÓN'!$B$27)</f>
        <v>42370</v>
      </c>
      <c r="N100" s="159"/>
      <c r="O100" s="159"/>
      <c r="P100" s="159"/>
      <c r="Q100" s="159"/>
      <c r="R100" s="159"/>
      <c r="S100" s="159"/>
      <c r="T100" s="47"/>
      <c r="U100" s="47"/>
      <c r="V100" s="47"/>
      <c r="W100" s="47"/>
      <c r="X100" s="47"/>
      <c r="Y100" s="47"/>
      <c r="Z100" s="47"/>
    </row>
    <row r="101" spans="1:26" s="4" customFormat="1" ht="12.75">
      <c r="A101" s="292">
        <f t="shared" si="4"/>
        <v>23</v>
      </c>
      <c r="B101" s="300">
        <f t="shared" si="5"/>
        <v>242</v>
      </c>
      <c r="C101" s="458">
        <f>IF($B48&gt;AUXILIAR!$A$39,0,INDEX(INDICES!$C$11:$K$313,'CÁLCULO REVISIÓN'!$B48,1))</f>
        <v>0</v>
      </c>
      <c r="D101" s="458">
        <f>IF($B48&gt;AUXILIAR!$A$39,0,INDEX(INDICES!$C$11:$K$313,'CÁLCULO REVISIÓN'!$B48,2))</f>
        <v>0</v>
      </c>
      <c r="E101" s="458">
        <f>IF($B48&gt;AUXILIAR!$A$39,0,INDEX(INDICES!$C$11:$K$313,'CÁLCULO REVISIÓN'!$B48,3))</f>
        <v>0</v>
      </c>
      <c r="F101" s="458">
        <f>IF($B48&gt;AUXILIAR!$A$39,0,INDEX(INDICES!$C$11:$K$313,'CÁLCULO REVISIÓN'!$B48,4))</f>
        <v>0</v>
      </c>
      <c r="G101" s="458">
        <f>IF($B48&gt;AUXILIAR!$A$39,0,INDEX(INDICES!$C$11:$K$313,'CÁLCULO REVISIÓN'!$B48,5))</f>
        <v>0</v>
      </c>
      <c r="H101" s="458">
        <f>IF($B48&gt;AUXILIAR!$A$39,0,INDEX(INDICES!$C$11:$K$313,'CÁLCULO REVISIÓN'!$B48,6))</f>
        <v>0</v>
      </c>
      <c r="I101" s="458">
        <f>IF($B48&gt;AUXILIAR!$A$39,0,INDEX(INDICES!$C$11:$K$313,'CÁLCULO REVISIÓN'!$B48,7))</f>
        <v>0</v>
      </c>
      <c r="J101" s="458">
        <f>IF($B48&gt;AUXILIAR!$A$39,0,INDEX(INDICES!$C$11:$K$313,'CÁLCULO REVISIÓN'!$B48,8))</f>
        <v>0</v>
      </c>
      <c r="K101" s="458">
        <f>IF($B48&gt;AUXILIAR!$A$39,0,INDEX(INDICES!$C$11:$K$313,'CÁLCULO REVISIÓN'!$B48,9))</f>
        <v>0</v>
      </c>
      <c r="L101" s="293">
        <f>IF(AUXILIAR!$D$11=2,IF($B101&gt;AUXILIAR!$A$39,0,$C$19*C101/$D$22+$D$19*H101/$I$22+$E$19*D101/$E$22+$F$19*G101/$H$22+$G$19*K101/$L$22+$H$19*E101/$F$22+$I$19*F101/$G$22+$J$19*J101/$K$22+$K$19*I101/$J$22+$L$19),0)</f>
        <v>0</v>
      </c>
      <c r="M101" s="294">
        <f>INDEX(AUXILIAR!I23:I313,'CÁLCULO REVISIÓN'!$B$27)</f>
        <v>42401</v>
      </c>
      <c r="N101" s="159"/>
      <c r="O101" s="159"/>
      <c r="P101" s="159"/>
      <c r="Q101" s="159"/>
      <c r="R101" s="159"/>
      <c r="S101" s="159"/>
      <c r="T101" s="47"/>
      <c r="U101" s="47"/>
      <c r="V101" s="47"/>
      <c r="W101" s="47"/>
      <c r="X101" s="47"/>
      <c r="Y101" s="47"/>
      <c r="Z101" s="47"/>
    </row>
    <row r="102" spans="1:26" s="4" customFormat="1" ht="12.75">
      <c r="A102" s="292">
        <f t="shared" si="4"/>
        <v>24</v>
      </c>
      <c r="B102" s="300">
        <f t="shared" si="5"/>
        <v>243</v>
      </c>
      <c r="C102" s="458">
        <f>IF($B49&gt;AUXILIAR!$A$39,0,INDEX(INDICES!$C$11:$K$313,'CÁLCULO REVISIÓN'!$B49,1))</f>
        <v>0</v>
      </c>
      <c r="D102" s="458">
        <f>IF($B49&gt;AUXILIAR!$A$39,0,INDEX(INDICES!$C$11:$K$313,'CÁLCULO REVISIÓN'!$B49,2))</f>
        <v>0</v>
      </c>
      <c r="E102" s="458">
        <f>IF($B49&gt;AUXILIAR!$A$39,0,INDEX(INDICES!$C$11:$K$313,'CÁLCULO REVISIÓN'!$B49,3))</f>
        <v>0</v>
      </c>
      <c r="F102" s="458">
        <f>IF($B49&gt;AUXILIAR!$A$39,0,INDEX(INDICES!$C$11:$K$313,'CÁLCULO REVISIÓN'!$B49,4))</f>
        <v>0</v>
      </c>
      <c r="G102" s="458">
        <f>IF($B49&gt;AUXILIAR!$A$39,0,INDEX(INDICES!$C$11:$K$313,'CÁLCULO REVISIÓN'!$B49,5))</f>
        <v>0</v>
      </c>
      <c r="H102" s="458">
        <f>IF($B49&gt;AUXILIAR!$A$39,0,INDEX(INDICES!$C$11:$K$313,'CÁLCULO REVISIÓN'!$B49,6))</f>
        <v>0</v>
      </c>
      <c r="I102" s="458">
        <f>IF($B49&gt;AUXILIAR!$A$39,0,INDEX(INDICES!$C$11:$K$313,'CÁLCULO REVISIÓN'!$B49,7))</f>
        <v>0</v>
      </c>
      <c r="J102" s="458">
        <f>IF($B49&gt;AUXILIAR!$A$39,0,INDEX(INDICES!$C$11:$K$313,'CÁLCULO REVISIÓN'!$B49,8))</f>
        <v>0</v>
      </c>
      <c r="K102" s="458">
        <f>IF($B49&gt;AUXILIAR!$A$39,0,INDEX(INDICES!$C$11:$K$313,'CÁLCULO REVISIÓN'!$B49,9))</f>
        <v>0</v>
      </c>
      <c r="L102" s="293">
        <f>IF(AUXILIAR!$D$11=2,IF($B102&gt;AUXILIAR!$A$39,0,$C$19*C102/$D$22+$D$19*H102/$I$22+$E$19*D102/$E$22+$F$19*G102/$H$22+$G$19*K102/$L$22+$H$19*E102/$F$22+$I$19*F102/$G$22+$J$19*J102/$K$22+$K$19*I102/$J$22+$L$19),0)</f>
        <v>0</v>
      </c>
      <c r="M102" s="294">
        <f>INDEX(AUXILIAR!I24:I299,'CÁLCULO REVISIÓN'!$B$27)</f>
        <v>42430</v>
      </c>
      <c r="N102" s="159"/>
      <c r="O102" s="159"/>
      <c r="P102" s="159"/>
      <c r="Q102" s="159"/>
      <c r="R102" s="159"/>
      <c r="S102" s="159"/>
      <c r="T102" s="47"/>
      <c r="U102" s="47"/>
      <c r="V102" s="47"/>
      <c r="W102" s="47"/>
      <c r="X102" s="47"/>
      <c r="Y102" s="47"/>
      <c r="Z102" s="47"/>
    </row>
    <row r="103" spans="1:26" s="4" customFormat="1" ht="12.75">
      <c r="A103" s="292">
        <f t="shared" si="4"/>
        <v>25</v>
      </c>
      <c r="B103" s="300">
        <f t="shared" si="5"/>
        <v>244</v>
      </c>
      <c r="C103" s="458">
        <f>IF($B50&gt;AUXILIAR!$A$39,0,INDEX(INDICES!$C$11:$K$313,'CÁLCULO REVISIÓN'!$B50,1))</f>
        <v>0</v>
      </c>
      <c r="D103" s="458">
        <f>IF($B50&gt;AUXILIAR!$A$39,0,INDEX(INDICES!$C$11:$K$313,'CÁLCULO REVISIÓN'!$B50,2))</f>
        <v>0</v>
      </c>
      <c r="E103" s="458">
        <f>IF($B50&gt;AUXILIAR!$A$39,0,INDEX(INDICES!$C$11:$K$313,'CÁLCULO REVISIÓN'!$B50,3))</f>
        <v>0</v>
      </c>
      <c r="F103" s="458">
        <f>IF($B50&gt;AUXILIAR!$A$39,0,INDEX(INDICES!$C$11:$K$313,'CÁLCULO REVISIÓN'!$B50,4))</f>
        <v>0</v>
      </c>
      <c r="G103" s="458">
        <f>IF($B50&gt;AUXILIAR!$A$39,0,INDEX(INDICES!$C$11:$K$313,'CÁLCULO REVISIÓN'!$B50,5))</f>
        <v>0</v>
      </c>
      <c r="H103" s="458">
        <f>IF($B50&gt;AUXILIAR!$A$39,0,INDEX(INDICES!$C$11:$K$313,'CÁLCULO REVISIÓN'!$B50,6))</f>
        <v>0</v>
      </c>
      <c r="I103" s="458">
        <f>IF($B50&gt;AUXILIAR!$A$39,0,INDEX(INDICES!$C$11:$K$313,'CÁLCULO REVISIÓN'!$B50,7))</f>
        <v>0</v>
      </c>
      <c r="J103" s="458">
        <f>IF($B50&gt;AUXILIAR!$A$39,0,INDEX(INDICES!$C$11:$K$313,'CÁLCULO REVISIÓN'!$B50,8))</f>
        <v>0</v>
      </c>
      <c r="K103" s="458">
        <f>IF($B50&gt;AUXILIAR!$A$39,0,INDEX(INDICES!$C$11:$K$313,'CÁLCULO REVISIÓN'!$B50,9))</f>
        <v>0</v>
      </c>
      <c r="L103" s="293">
        <f>IF(AUXILIAR!$D$11=2,IF($B103&gt;AUXILIAR!$A$39,0,$C$19*C103/$D$22+$D$19*H103/$I$22+$E$19*D103/$E$22+$F$19*G103/$H$22+$G$19*K103/$L$22+$H$19*E103/$F$22+$I$19*F103/$G$22+$J$19*J103/$K$22+$K$19*I103/$J$22+$L$19),0)</f>
        <v>0</v>
      </c>
      <c r="M103" s="294">
        <f>INDEX(AUXILIAR!I25:I300,'CÁLCULO REVISIÓN'!$B$27)</f>
        <v>42461</v>
      </c>
      <c r="N103" s="159"/>
      <c r="O103" s="159"/>
      <c r="P103" s="159"/>
      <c r="Q103" s="159"/>
      <c r="R103" s="159"/>
      <c r="S103" s="159"/>
      <c r="T103" s="47"/>
      <c r="U103" s="47"/>
      <c r="V103" s="47"/>
      <c r="W103" s="47"/>
      <c r="X103" s="47"/>
      <c r="Y103" s="47"/>
      <c r="Z103" s="47"/>
    </row>
    <row r="104" spans="1:26" s="4" customFormat="1" ht="12.75">
      <c r="A104" s="292">
        <f t="shared" si="4"/>
        <v>26</v>
      </c>
      <c r="B104" s="300">
        <f t="shared" si="5"/>
        <v>245</v>
      </c>
      <c r="C104" s="458">
        <f>IF($B51&gt;AUXILIAR!$A$39,0,INDEX(INDICES!$C$11:$K$313,'CÁLCULO REVISIÓN'!$B51,1))</f>
        <v>0</v>
      </c>
      <c r="D104" s="458">
        <f>IF($B51&gt;AUXILIAR!$A$39,0,INDEX(INDICES!$C$11:$K$313,'CÁLCULO REVISIÓN'!$B51,2))</f>
        <v>0</v>
      </c>
      <c r="E104" s="458">
        <f>IF($B51&gt;AUXILIAR!$A$39,0,INDEX(INDICES!$C$11:$K$313,'CÁLCULO REVISIÓN'!$B51,3))</f>
        <v>0</v>
      </c>
      <c r="F104" s="458">
        <f>IF($B51&gt;AUXILIAR!$A$39,0,INDEX(INDICES!$C$11:$K$313,'CÁLCULO REVISIÓN'!$B51,4))</f>
        <v>0</v>
      </c>
      <c r="G104" s="458">
        <f>IF($B51&gt;AUXILIAR!$A$39,0,INDEX(INDICES!$C$11:$K$313,'CÁLCULO REVISIÓN'!$B51,5))</f>
        <v>0</v>
      </c>
      <c r="H104" s="458">
        <f>IF($B51&gt;AUXILIAR!$A$39,0,INDEX(INDICES!$C$11:$K$313,'CÁLCULO REVISIÓN'!$B51,6))</f>
        <v>0</v>
      </c>
      <c r="I104" s="458">
        <f>IF($B51&gt;AUXILIAR!$A$39,0,INDEX(INDICES!$C$11:$K$313,'CÁLCULO REVISIÓN'!$B51,7))</f>
        <v>0</v>
      </c>
      <c r="J104" s="458">
        <f>IF($B51&gt;AUXILIAR!$A$39,0,INDEX(INDICES!$C$11:$K$313,'CÁLCULO REVISIÓN'!$B51,8))</f>
        <v>0</v>
      </c>
      <c r="K104" s="458">
        <f>IF($B51&gt;AUXILIAR!$A$39,0,INDEX(INDICES!$C$11:$K$313,'CÁLCULO REVISIÓN'!$B51,9))</f>
        <v>0</v>
      </c>
      <c r="L104" s="293">
        <f>IF(AUXILIAR!$D$11=2,IF($B104&gt;AUXILIAR!$A$39,0,$C$19*C104/$D$22+$D$19*H104/$I$22+$E$19*D104/$E$22+$F$19*G104/$H$22+$G$19*K104/$L$22+$H$19*E104/$F$22+$I$19*F104/$G$22+$J$19*J104/$K$22+$K$19*I104/$J$22+$L$19),0)</f>
        <v>0</v>
      </c>
      <c r="M104" s="294">
        <f>INDEX(AUXILIAR!I26:I301,'CÁLCULO REVISIÓN'!$B$27)</f>
        <v>42491</v>
      </c>
      <c r="N104" s="159"/>
      <c r="O104" s="159"/>
      <c r="P104" s="159"/>
      <c r="Q104" s="159"/>
      <c r="R104" s="159"/>
      <c r="S104" s="159"/>
      <c r="T104" s="47"/>
      <c r="U104" s="47"/>
      <c r="V104" s="47"/>
      <c r="W104" s="47"/>
      <c r="X104" s="47"/>
      <c r="Y104" s="47"/>
      <c r="Z104" s="47"/>
    </row>
    <row r="105" spans="1:26" s="4" customFormat="1" ht="12.75">
      <c r="A105" s="292">
        <f t="shared" si="4"/>
        <v>27</v>
      </c>
      <c r="B105" s="300">
        <f t="shared" si="5"/>
        <v>246</v>
      </c>
      <c r="C105" s="458">
        <f>IF($B52&gt;AUXILIAR!$A$39,0,INDEX(INDICES!$C$11:$K$313,'CÁLCULO REVISIÓN'!$B52,1))</f>
        <v>0</v>
      </c>
      <c r="D105" s="458">
        <f>IF($B52&gt;AUXILIAR!$A$39,0,INDEX(INDICES!$C$11:$K$313,'CÁLCULO REVISIÓN'!$B52,2))</f>
        <v>0</v>
      </c>
      <c r="E105" s="458">
        <f>IF($B52&gt;AUXILIAR!$A$39,0,INDEX(INDICES!$C$11:$K$313,'CÁLCULO REVISIÓN'!$B52,3))</f>
        <v>0</v>
      </c>
      <c r="F105" s="458">
        <f>IF($B52&gt;AUXILIAR!$A$39,0,INDEX(INDICES!$C$11:$K$313,'CÁLCULO REVISIÓN'!$B52,4))</f>
        <v>0</v>
      </c>
      <c r="G105" s="458">
        <f>IF($B52&gt;AUXILIAR!$A$39,0,INDEX(INDICES!$C$11:$K$313,'CÁLCULO REVISIÓN'!$B52,5))</f>
        <v>0</v>
      </c>
      <c r="H105" s="458">
        <f>IF($B52&gt;AUXILIAR!$A$39,0,INDEX(INDICES!$C$11:$K$313,'CÁLCULO REVISIÓN'!$B52,6))</f>
        <v>0</v>
      </c>
      <c r="I105" s="458">
        <f>IF($B52&gt;AUXILIAR!$A$39,0,INDEX(INDICES!$C$11:$K$313,'CÁLCULO REVISIÓN'!$B52,7))</f>
        <v>0</v>
      </c>
      <c r="J105" s="458">
        <f>IF($B52&gt;AUXILIAR!$A$39,0,INDEX(INDICES!$C$11:$K$313,'CÁLCULO REVISIÓN'!$B52,8))</f>
        <v>0</v>
      </c>
      <c r="K105" s="458">
        <f>IF($B52&gt;AUXILIAR!$A$39,0,INDEX(INDICES!$C$11:$K$313,'CÁLCULO REVISIÓN'!$B52,9))</f>
        <v>0</v>
      </c>
      <c r="L105" s="293">
        <f>IF(AUXILIAR!$D$11=2,IF($B105&gt;AUXILIAR!$A$39,0,$C$19*C105/$D$22+$D$19*H105/$I$22+$E$19*D105/$E$22+$F$19*G105/$H$22+$G$19*K105/$L$22+$H$19*E105/$F$22+$I$19*F105/$G$22+$J$19*J105/$K$22+$K$19*I105/$J$22+$L$19),0)</f>
        <v>0</v>
      </c>
      <c r="M105" s="294">
        <f>INDEX(AUXILIAR!I27:I302,'CÁLCULO REVISIÓN'!$B$27)</f>
        <v>42522</v>
      </c>
      <c r="N105" s="159"/>
      <c r="O105" s="159"/>
      <c r="P105" s="159"/>
      <c r="Q105" s="159"/>
      <c r="R105" s="159"/>
      <c r="S105" s="159"/>
      <c r="T105" s="47"/>
      <c r="U105" s="47"/>
      <c r="V105" s="47"/>
      <c r="W105" s="47"/>
      <c r="X105" s="47"/>
      <c r="Y105" s="47"/>
      <c r="Z105" s="47"/>
    </row>
    <row r="106" spans="1:26" s="4" customFormat="1" ht="12.75">
      <c r="A106" s="292">
        <f t="shared" si="4"/>
        <v>28</v>
      </c>
      <c r="B106" s="300">
        <f t="shared" si="5"/>
        <v>247</v>
      </c>
      <c r="C106" s="458">
        <f>IF($B53&gt;AUXILIAR!$A$39,0,INDEX(INDICES!$C$11:$K$313,'CÁLCULO REVISIÓN'!$B53,1))</f>
        <v>0</v>
      </c>
      <c r="D106" s="458">
        <f>IF($B53&gt;AUXILIAR!$A$39,0,INDEX(INDICES!$C$11:$K$313,'CÁLCULO REVISIÓN'!$B53,2))</f>
        <v>0</v>
      </c>
      <c r="E106" s="458">
        <f>IF($B53&gt;AUXILIAR!$A$39,0,INDEX(INDICES!$C$11:$K$313,'CÁLCULO REVISIÓN'!$B53,3))</f>
        <v>0</v>
      </c>
      <c r="F106" s="458">
        <f>IF($B53&gt;AUXILIAR!$A$39,0,INDEX(INDICES!$C$11:$K$313,'CÁLCULO REVISIÓN'!$B53,4))</f>
        <v>0</v>
      </c>
      <c r="G106" s="458">
        <f>IF($B53&gt;AUXILIAR!$A$39,0,INDEX(INDICES!$C$11:$K$313,'CÁLCULO REVISIÓN'!$B53,5))</f>
        <v>0</v>
      </c>
      <c r="H106" s="458">
        <f>IF($B53&gt;AUXILIAR!$A$39,0,INDEX(INDICES!$C$11:$K$313,'CÁLCULO REVISIÓN'!$B53,6))</f>
        <v>0</v>
      </c>
      <c r="I106" s="458">
        <f>IF($B53&gt;AUXILIAR!$A$39,0,INDEX(INDICES!$C$11:$K$313,'CÁLCULO REVISIÓN'!$B53,7))</f>
        <v>0</v>
      </c>
      <c r="J106" s="458">
        <f>IF($B53&gt;AUXILIAR!$A$39,0,INDEX(INDICES!$C$11:$K$313,'CÁLCULO REVISIÓN'!$B53,8))</f>
        <v>0</v>
      </c>
      <c r="K106" s="458">
        <f>IF($B53&gt;AUXILIAR!$A$39,0,INDEX(INDICES!$C$11:$K$313,'CÁLCULO REVISIÓN'!$B53,9))</f>
        <v>0</v>
      </c>
      <c r="L106" s="293">
        <f>IF(AUXILIAR!$D$11=2,IF($B106&gt;AUXILIAR!$A$39,0,$C$19*C106/$D$22+$D$19*H106/$I$22+$E$19*D106/$E$22+$F$19*G106/$H$22+$G$19*K106/$L$22+$H$19*E106/$F$22+$I$19*F106/$G$22+$J$19*J106/$K$22+$K$19*I106/$J$22+$L$19),0)</f>
        <v>0</v>
      </c>
      <c r="M106" s="294">
        <f>INDEX(AUXILIAR!I28:I303,'CÁLCULO REVISIÓN'!$B$27)</f>
        <v>42552</v>
      </c>
      <c r="N106" s="159"/>
      <c r="O106" s="159"/>
      <c r="P106" s="159"/>
      <c r="Q106" s="159"/>
      <c r="R106" s="159"/>
      <c r="S106" s="159"/>
      <c r="T106" s="47"/>
      <c r="U106" s="47"/>
      <c r="V106" s="47"/>
      <c r="W106" s="47"/>
      <c r="X106" s="47"/>
      <c r="Y106" s="47"/>
      <c r="Z106" s="47"/>
    </row>
    <row r="107" spans="1:26" s="4" customFormat="1" ht="12.75">
      <c r="A107" s="292">
        <f t="shared" si="4"/>
        <v>29</v>
      </c>
      <c r="B107" s="300">
        <f t="shared" si="5"/>
        <v>248</v>
      </c>
      <c r="C107" s="458">
        <f>IF($B54&gt;AUXILIAR!$A$39,0,INDEX(INDICES!$C$11:$K$313,'CÁLCULO REVISIÓN'!$B54,1))</f>
        <v>0</v>
      </c>
      <c r="D107" s="458">
        <f>IF($B54&gt;AUXILIAR!$A$39,0,INDEX(INDICES!$C$11:$K$313,'CÁLCULO REVISIÓN'!$B54,2))</f>
        <v>0</v>
      </c>
      <c r="E107" s="458">
        <f>IF($B54&gt;AUXILIAR!$A$39,0,INDEX(INDICES!$C$11:$K$313,'CÁLCULO REVISIÓN'!$B54,3))</f>
        <v>0</v>
      </c>
      <c r="F107" s="458">
        <f>IF($B54&gt;AUXILIAR!$A$39,0,INDEX(INDICES!$C$11:$K$313,'CÁLCULO REVISIÓN'!$B54,4))</f>
        <v>0</v>
      </c>
      <c r="G107" s="458">
        <f>IF($B54&gt;AUXILIAR!$A$39,0,INDEX(INDICES!$C$11:$K$313,'CÁLCULO REVISIÓN'!$B54,5))</f>
        <v>0</v>
      </c>
      <c r="H107" s="458">
        <f>IF($B54&gt;AUXILIAR!$A$39,0,INDEX(INDICES!$C$11:$K$313,'CÁLCULO REVISIÓN'!$B54,6))</f>
        <v>0</v>
      </c>
      <c r="I107" s="458">
        <f>IF($B54&gt;AUXILIAR!$A$39,0,INDEX(INDICES!$C$11:$K$313,'CÁLCULO REVISIÓN'!$B54,7))</f>
        <v>0</v>
      </c>
      <c r="J107" s="458">
        <f>IF($B54&gt;AUXILIAR!$A$39,0,INDEX(INDICES!$C$11:$K$313,'CÁLCULO REVISIÓN'!$B54,8))</f>
        <v>0</v>
      </c>
      <c r="K107" s="458">
        <f>IF($B54&gt;AUXILIAR!$A$39,0,INDEX(INDICES!$C$11:$K$313,'CÁLCULO REVISIÓN'!$B54,9))</f>
        <v>0</v>
      </c>
      <c r="L107" s="293">
        <f>IF(AUXILIAR!$D$11=2,IF($B107&gt;AUXILIAR!$A$39,0,$C$19*C107/$D$22+$D$19*H107/$I$22+$E$19*D107/$E$22+$F$19*G107/$H$22+$G$19*K107/$L$22+$H$19*E107/$F$22+$I$19*F107/$G$22+$J$19*J107/$K$22+$K$19*I107/$J$22+$L$19),0)</f>
        <v>0</v>
      </c>
      <c r="M107" s="294">
        <f>INDEX(AUXILIAR!I29:I304,'CÁLCULO REVISIÓN'!$B$27)</f>
        <v>42583</v>
      </c>
      <c r="N107" s="159"/>
      <c r="O107" s="159"/>
      <c r="P107" s="159"/>
      <c r="Q107" s="159"/>
      <c r="R107" s="159"/>
      <c r="S107" s="159"/>
      <c r="T107" s="47"/>
      <c r="U107" s="47"/>
      <c r="V107" s="47"/>
      <c r="W107" s="47"/>
      <c r="X107" s="47"/>
      <c r="Y107" s="47"/>
      <c r="Z107" s="47"/>
    </row>
    <row r="108" spans="1:26" s="4" customFormat="1" ht="12.75">
      <c r="A108" s="292">
        <f t="shared" si="4"/>
        <v>30</v>
      </c>
      <c r="B108" s="300">
        <f t="shared" si="5"/>
        <v>249</v>
      </c>
      <c r="C108" s="458">
        <f>IF($B55&gt;AUXILIAR!$A$39,0,INDEX(INDICES!$C$11:$K$313,'CÁLCULO REVISIÓN'!$B55,1))</f>
        <v>0</v>
      </c>
      <c r="D108" s="458">
        <f>IF($B55&gt;AUXILIAR!$A$39,0,INDEX(INDICES!$C$11:$K$313,'CÁLCULO REVISIÓN'!$B55,2))</f>
        <v>0</v>
      </c>
      <c r="E108" s="458">
        <f>IF($B55&gt;AUXILIAR!$A$39,0,INDEX(INDICES!$C$11:$K$313,'CÁLCULO REVISIÓN'!$B55,3))</f>
        <v>0</v>
      </c>
      <c r="F108" s="458">
        <f>IF($B55&gt;AUXILIAR!$A$39,0,INDEX(INDICES!$C$11:$K$313,'CÁLCULO REVISIÓN'!$B55,4))</f>
        <v>0</v>
      </c>
      <c r="G108" s="458">
        <f>IF($B55&gt;AUXILIAR!$A$39,0,INDEX(INDICES!$C$11:$K$313,'CÁLCULO REVISIÓN'!$B55,5))</f>
        <v>0</v>
      </c>
      <c r="H108" s="458">
        <f>IF($B55&gt;AUXILIAR!$A$39,0,INDEX(INDICES!$C$11:$K$313,'CÁLCULO REVISIÓN'!$B55,6))</f>
        <v>0</v>
      </c>
      <c r="I108" s="458">
        <f>IF($B55&gt;AUXILIAR!$A$39,0,INDEX(INDICES!$C$11:$K$313,'CÁLCULO REVISIÓN'!$B55,7))</f>
        <v>0</v>
      </c>
      <c r="J108" s="458">
        <f>IF($B55&gt;AUXILIAR!$A$39,0,INDEX(INDICES!$C$11:$K$313,'CÁLCULO REVISIÓN'!$B55,8))</f>
        <v>0</v>
      </c>
      <c r="K108" s="458">
        <f>IF($B55&gt;AUXILIAR!$A$39,0,INDEX(INDICES!$C$11:$K$313,'CÁLCULO REVISIÓN'!$B55,9))</f>
        <v>0</v>
      </c>
      <c r="L108" s="293">
        <f>IF(AUXILIAR!$D$11=2,IF($B108&gt;AUXILIAR!$A$39,0,$C$19*C108/$D$22+$D$19*H108/$I$22+$E$19*D108/$E$22+$F$19*G108/$H$22+$G$19*K108/$L$22+$H$19*E108/$F$22+$I$19*F108/$G$22+$J$19*J108/$K$22+$K$19*I108/$J$22+$L$19),0)</f>
        <v>0</v>
      </c>
      <c r="M108" s="294">
        <f>INDEX(AUXILIAR!I30:I305,'CÁLCULO REVISIÓN'!$B$27)</f>
        <v>42614</v>
      </c>
      <c r="N108" s="159"/>
      <c r="O108" s="159"/>
      <c r="P108" s="159"/>
      <c r="Q108" s="159"/>
      <c r="R108" s="159"/>
      <c r="S108" s="159"/>
      <c r="T108" s="47"/>
      <c r="U108" s="47"/>
      <c r="V108" s="47"/>
      <c r="W108" s="47"/>
      <c r="X108" s="47"/>
      <c r="Y108" s="47"/>
      <c r="Z108" s="47"/>
    </row>
    <row r="109" spans="1:26" s="4" customFormat="1" ht="12.75">
      <c r="A109" s="292">
        <f t="shared" si="4"/>
        <v>31</v>
      </c>
      <c r="B109" s="300">
        <f t="shared" si="5"/>
        <v>250</v>
      </c>
      <c r="C109" s="458">
        <f>IF($B56&gt;AUXILIAR!$A$39,0,INDEX(INDICES!$C$11:$K$313,'CÁLCULO REVISIÓN'!$B56,1))</f>
        <v>0</v>
      </c>
      <c r="D109" s="458">
        <f>IF($B56&gt;AUXILIAR!$A$39,0,INDEX(INDICES!$C$11:$K$313,'CÁLCULO REVISIÓN'!$B56,2))</f>
        <v>0</v>
      </c>
      <c r="E109" s="458">
        <f>IF($B56&gt;AUXILIAR!$A$39,0,INDEX(INDICES!$C$11:$K$313,'CÁLCULO REVISIÓN'!$B56,3))</f>
        <v>0</v>
      </c>
      <c r="F109" s="458">
        <f>IF($B56&gt;AUXILIAR!$A$39,0,INDEX(INDICES!$C$11:$K$313,'CÁLCULO REVISIÓN'!$B56,4))</f>
        <v>0</v>
      </c>
      <c r="G109" s="458">
        <f>IF($B56&gt;AUXILIAR!$A$39,0,INDEX(INDICES!$C$11:$K$313,'CÁLCULO REVISIÓN'!$B56,5))</f>
        <v>0</v>
      </c>
      <c r="H109" s="458">
        <f>IF($B56&gt;AUXILIAR!$A$39,0,INDEX(INDICES!$C$11:$K$313,'CÁLCULO REVISIÓN'!$B56,6))</f>
        <v>0</v>
      </c>
      <c r="I109" s="458">
        <f>IF($B56&gt;AUXILIAR!$A$39,0,INDEX(INDICES!$C$11:$K$313,'CÁLCULO REVISIÓN'!$B56,7))</f>
        <v>0</v>
      </c>
      <c r="J109" s="458">
        <f>IF($B56&gt;AUXILIAR!$A$39,0,INDEX(INDICES!$C$11:$K$313,'CÁLCULO REVISIÓN'!$B56,8))</f>
        <v>0</v>
      </c>
      <c r="K109" s="458">
        <f>IF($B56&gt;AUXILIAR!$A$39,0,INDEX(INDICES!$C$11:$K$313,'CÁLCULO REVISIÓN'!$B56,9))</f>
        <v>0</v>
      </c>
      <c r="L109" s="293">
        <f>IF(AUXILIAR!$D$11=2,IF($B109&gt;AUXILIAR!$A$39,0,$C$19*C109/$D$22+$D$19*H109/$I$22+$E$19*D109/$E$22+$F$19*G109/$H$22+$G$19*K109/$L$22+$H$19*E109/$F$22+$I$19*F109/$G$22+$J$19*J109/$K$22+$K$19*I109/$J$22+$L$19),0)</f>
        <v>0</v>
      </c>
      <c r="M109" s="294">
        <f>INDEX(AUXILIAR!I31:I306,'CÁLCULO REVISIÓN'!$B$27)</f>
        <v>42644</v>
      </c>
      <c r="N109" s="159"/>
      <c r="O109" s="159"/>
      <c r="P109" s="159"/>
      <c r="Q109" s="159"/>
      <c r="R109" s="159"/>
      <c r="S109" s="159"/>
      <c r="T109" s="47"/>
      <c r="U109" s="47"/>
      <c r="V109" s="47"/>
      <c r="W109" s="47"/>
      <c r="X109" s="47"/>
      <c r="Y109" s="47"/>
      <c r="Z109" s="47"/>
    </row>
    <row r="110" spans="1:26" s="4" customFormat="1" ht="12.75">
      <c r="A110" s="292">
        <f t="shared" si="4"/>
        <v>32</v>
      </c>
      <c r="B110" s="300">
        <f t="shared" si="5"/>
        <v>251</v>
      </c>
      <c r="C110" s="458">
        <f>IF($B57&gt;AUXILIAR!$A$39,0,INDEX(INDICES!$C$11:$K$313,'CÁLCULO REVISIÓN'!$B57,1))</f>
        <v>0</v>
      </c>
      <c r="D110" s="458">
        <f>IF($B57&gt;AUXILIAR!$A$39,0,INDEX(INDICES!$C$11:$K$313,'CÁLCULO REVISIÓN'!$B57,2))</f>
        <v>0</v>
      </c>
      <c r="E110" s="458">
        <f>IF($B57&gt;AUXILIAR!$A$39,0,INDEX(INDICES!$C$11:$K$313,'CÁLCULO REVISIÓN'!$B57,3))</f>
        <v>0</v>
      </c>
      <c r="F110" s="458">
        <f>IF($B57&gt;AUXILIAR!$A$39,0,INDEX(INDICES!$C$11:$K$313,'CÁLCULO REVISIÓN'!$B57,4))</f>
        <v>0</v>
      </c>
      <c r="G110" s="458">
        <f>IF($B57&gt;AUXILIAR!$A$39,0,INDEX(INDICES!$C$11:$K$313,'CÁLCULO REVISIÓN'!$B57,5))</f>
        <v>0</v>
      </c>
      <c r="H110" s="458">
        <f>IF($B57&gt;AUXILIAR!$A$39,0,INDEX(INDICES!$C$11:$K$313,'CÁLCULO REVISIÓN'!$B57,6))</f>
        <v>0</v>
      </c>
      <c r="I110" s="458">
        <f>IF($B57&gt;AUXILIAR!$A$39,0,INDEX(INDICES!$C$11:$K$313,'CÁLCULO REVISIÓN'!$B57,7))</f>
        <v>0</v>
      </c>
      <c r="J110" s="458">
        <f>IF($B57&gt;AUXILIAR!$A$39,0,INDEX(INDICES!$C$11:$K$313,'CÁLCULO REVISIÓN'!$B57,8))</f>
        <v>0</v>
      </c>
      <c r="K110" s="458">
        <f>IF($B57&gt;AUXILIAR!$A$39,0,INDEX(INDICES!$C$11:$K$313,'CÁLCULO REVISIÓN'!$B57,9))</f>
        <v>0</v>
      </c>
      <c r="L110" s="293">
        <f>IF(AUXILIAR!$D$11=2,IF($B110&gt;AUXILIAR!$A$39,0,$C$19*C110/$D$22+$D$19*H110/$I$22+$E$19*D110/$E$22+$F$19*G110/$H$22+$G$19*K110/$L$22+$H$19*E110/$F$22+$I$19*F110/$G$22+$J$19*J110/$K$22+$K$19*I110/$J$22+$L$19),0)</f>
        <v>0</v>
      </c>
      <c r="M110" s="294">
        <f>INDEX(AUXILIAR!I32:I307,'CÁLCULO REVISIÓN'!$B$27)</f>
        <v>42675</v>
      </c>
      <c r="N110" s="159"/>
      <c r="O110" s="159"/>
      <c r="P110" s="159"/>
      <c r="Q110" s="159"/>
      <c r="R110" s="159"/>
      <c r="S110" s="159"/>
      <c r="T110" s="47"/>
      <c r="U110" s="47"/>
      <c r="V110" s="47"/>
      <c r="W110" s="47"/>
      <c r="X110" s="47"/>
      <c r="Y110" s="47"/>
      <c r="Z110" s="47"/>
    </row>
    <row r="111" spans="1:26" s="4" customFormat="1" ht="12.75">
      <c r="A111" s="292">
        <f t="shared" si="4"/>
        <v>33</v>
      </c>
      <c r="B111" s="300">
        <f t="shared" si="5"/>
        <v>252</v>
      </c>
      <c r="C111" s="458">
        <f>IF($B58&gt;AUXILIAR!$A$39,0,INDEX(INDICES!$C$11:$K$313,'CÁLCULO REVISIÓN'!$B58,1))</f>
        <v>0</v>
      </c>
      <c r="D111" s="458">
        <f>IF($B58&gt;AUXILIAR!$A$39,0,INDEX(INDICES!$C$11:$K$313,'CÁLCULO REVISIÓN'!$B58,2))</f>
        <v>0</v>
      </c>
      <c r="E111" s="458">
        <f>IF($B58&gt;AUXILIAR!$A$39,0,INDEX(INDICES!$C$11:$K$313,'CÁLCULO REVISIÓN'!$B58,3))</f>
        <v>0</v>
      </c>
      <c r="F111" s="458">
        <f>IF($B58&gt;AUXILIAR!$A$39,0,INDEX(INDICES!$C$11:$K$313,'CÁLCULO REVISIÓN'!$B58,4))</f>
        <v>0</v>
      </c>
      <c r="G111" s="458">
        <f>IF($B58&gt;AUXILIAR!$A$39,0,INDEX(INDICES!$C$11:$K$313,'CÁLCULO REVISIÓN'!$B58,5))</f>
        <v>0</v>
      </c>
      <c r="H111" s="458">
        <f>IF($B58&gt;AUXILIAR!$A$39,0,INDEX(INDICES!$C$11:$K$313,'CÁLCULO REVISIÓN'!$B58,6))</f>
        <v>0</v>
      </c>
      <c r="I111" s="458">
        <f>IF($B58&gt;AUXILIAR!$A$39,0,INDEX(INDICES!$C$11:$K$313,'CÁLCULO REVISIÓN'!$B58,7))</f>
        <v>0</v>
      </c>
      <c r="J111" s="458">
        <f>IF($B58&gt;AUXILIAR!$A$39,0,INDEX(INDICES!$C$11:$K$313,'CÁLCULO REVISIÓN'!$B58,8))</f>
        <v>0</v>
      </c>
      <c r="K111" s="458">
        <f>IF($B58&gt;AUXILIAR!$A$39,0,INDEX(INDICES!$C$11:$K$313,'CÁLCULO REVISIÓN'!$B58,9))</f>
        <v>0</v>
      </c>
      <c r="L111" s="293">
        <f>IF(AUXILIAR!$D$11=2,IF($B111&gt;AUXILIAR!$A$39,0,$C$19*C111/$D$22+$D$19*H111/$I$22+$E$19*D111/$E$22+$F$19*G111/$H$22+$G$19*K111/$L$22+$H$19*E111/$F$22+$I$19*F111/$G$22+$J$19*J111/$K$22+$K$19*I111/$J$22+$L$19),0)</f>
        <v>0</v>
      </c>
      <c r="M111" s="294">
        <f>INDEX(AUXILIAR!I33:I308,'CÁLCULO REVISIÓN'!$B$27)</f>
        <v>42705</v>
      </c>
      <c r="N111" s="159"/>
      <c r="O111" s="159"/>
      <c r="P111" s="159"/>
      <c r="Q111" s="159"/>
      <c r="R111" s="159"/>
      <c r="S111" s="159"/>
      <c r="T111" s="47"/>
      <c r="U111" s="47"/>
      <c r="V111" s="47"/>
      <c r="W111" s="47"/>
      <c r="X111" s="47"/>
      <c r="Y111" s="47"/>
      <c r="Z111" s="47"/>
    </row>
    <row r="112" spans="1:26" s="4" customFormat="1" ht="12.75">
      <c r="A112" s="292">
        <f t="shared" si="4"/>
        <v>34</v>
      </c>
      <c r="B112" s="300">
        <f t="shared" si="5"/>
        <v>253</v>
      </c>
      <c r="C112" s="458">
        <f>IF($B59&gt;AUXILIAR!$A$39,0,INDEX(INDICES!$C$11:$K$313,'CÁLCULO REVISIÓN'!$B59,1))</f>
        <v>0</v>
      </c>
      <c r="D112" s="458">
        <f>IF($B59&gt;AUXILIAR!$A$39,0,INDEX(INDICES!$C$11:$K$313,'CÁLCULO REVISIÓN'!$B59,2))</f>
        <v>0</v>
      </c>
      <c r="E112" s="458">
        <f>IF($B59&gt;AUXILIAR!$A$39,0,INDEX(INDICES!$C$11:$K$313,'CÁLCULO REVISIÓN'!$B59,3))</f>
        <v>0</v>
      </c>
      <c r="F112" s="458">
        <f>IF($B59&gt;AUXILIAR!$A$39,0,INDEX(INDICES!$C$11:$K$313,'CÁLCULO REVISIÓN'!$B59,4))</f>
        <v>0</v>
      </c>
      <c r="G112" s="458">
        <f>IF($B59&gt;AUXILIAR!$A$39,0,INDEX(INDICES!$C$11:$K$313,'CÁLCULO REVISIÓN'!$B59,5))</f>
        <v>0</v>
      </c>
      <c r="H112" s="458">
        <f>IF($B59&gt;AUXILIAR!$A$39,0,INDEX(INDICES!$C$11:$K$313,'CÁLCULO REVISIÓN'!$B59,6))</f>
        <v>0</v>
      </c>
      <c r="I112" s="458">
        <f>IF($B59&gt;AUXILIAR!$A$39,0,INDEX(INDICES!$C$11:$K$313,'CÁLCULO REVISIÓN'!$B59,7))</f>
        <v>0</v>
      </c>
      <c r="J112" s="458">
        <f>IF($B59&gt;AUXILIAR!$A$39,0,INDEX(INDICES!$C$11:$K$313,'CÁLCULO REVISIÓN'!$B59,8))</f>
        <v>0</v>
      </c>
      <c r="K112" s="458">
        <f>IF($B59&gt;AUXILIAR!$A$39,0,INDEX(INDICES!$C$11:$K$313,'CÁLCULO REVISIÓN'!$B59,9))</f>
        <v>0</v>
      </c>
      <c r="L112" s="293">
        <f>IF(AUXILIAR!$D$11=2,IF($B112&gt;AUXILIAR!$A$39,0,$C$19*C112/$D$22+$D$19*H112/$I$22+$E$19*D112/$E$22+$F$19*G112/$H$22+$G$19*K112/$L$22+$H$19*E112/$F$22+$I$19*F112/$G$22+$J$19*J112/$K$22+$K$19*I112/$J$22+$L$19),0)</f>
        <v>0</v>
      </c>
      <c r="M112" s="294">
        <f>INDEX(AUXILIAR!I34:I309,'CÁLCULO REVISIÓN'!$B$27)</f>
        <v>42736</v>
      </c>
      <c r="N112" s="159"/>
      <c r="O112" s="159"/>
      <c r="P112" s="159"/>
      <c r="Q112" s="159"/>
      <c r="R112" s="159"/>
      <c r="S112" s="159"/>
      <c r="T112" s="47"/>
      <c r="U112" s="47"/>
      <c r="V112" s="47"/>
      <c r="W112" s="47"/>
      <c r="X112" s="47"/>
      <c r="Y112" s="47"/>
      <c r="Z112" s="47"/>
    </row>
    <row r="113" spans="1:26" s="4" customFormat="1" ht="12.75">
      <c r="A113" s="292">
        <f t="shared" si="4"/>
        <v>35</v>
      </c>
      <c r="B113" s="300">
        <f t="shared" si="5"/>
        <v>254</v>
      </c>
      <c r="C113" s="458">
        <f>IF($B60&gt;AUXILIAR!$A$39,0,INDEX(INDICES!$C$11:$K$313,'CÁLCULO REVISIÓN'!$B60,1))</f>
        <v>0</v>
      </c>
      <c r="D113" s="458">
        <f>IF($B60&gt;AUXILIAR!$A$39,0,INDEX(INDICES!$C$11:$K$313,'CÁLCULO REVISIÓN'!$B60,2))</f>
        <v>0</v>
      </c>
      <c r="E113" s="458">
        <f>IF($B60&gt;AUXILIAR!$A$39,0,INDEX(INDICES!$C$11:$K$313,'CÁLCULO REVISIÓN'!$B60,3))</f>
        <v>0</v>
      </c>
      <c r="F113" s="458">
        <f>IF($B60&gt;AUXILIAR!$A$39,0,INDEX(INDICES!$C$11:$K$313,'CÁLCULO REVISIÓN'!$B60,4))</f>
        <v>0</v>
      </c>
      <c r="G113" s="458">
        <f>IF($B60&gt;AUXILIAR!$A$39,0,INDEX(INDICES!$C$11:$K$313,'CÁLCULO REVISIÓN'!$B60,5))</f>
        <v>0</v>
      </c>
      <c r="H113" s="458">
        <f>IF($B60&gt;AUXILIAR!$A$39,0,INDEX(INDICES!$C$11:$K$313,'CÁLCULO REVISIÓN'!$B60,6))</f>
        <v>0</v>
      </c>
      <c r="I113" s="458">
        <f>IF($B60&gt;AUXILIAR!$A$39,0,INDEX(INDICES!$C$11:$K$313,'CÁLCULO REVISIÓN'!$B60,7))</f>
        <v>0</v>
      </c>
      <c r="J113" s="458">
        <f>IF($B60&gt;AUXILIAR!$A$39,0,INDEX(INDICES!$C$11:$K$313,'CÁLCULO REVISIÓN'!$B60,8))</f>
        <v>0</v>
      </c>
      <c r="K113" s="458">
        <f>IF($B60&gt;AUXILIAR!$A$39,0,INDEX(INDICES!$C$11:$K$313,'CÁLCULO REVISIÓN'!$B60,9))</f>
        <v>0</v>
      </c>
      <c r="L113" s="293">
        <f>IF(AUXILIAR!$D$11=2,IF($B113&gt;AUXILIAR!$A$39,0,$C$19*C113/$D$22+$D$19*H113/$I$22+$E$19*D113/$E$22+$F$19*G113/$H$22+$G$19*K113/$L$22+$H$19*E113/$F$22+$I$19*F113/$G$22+$J$19*J113/$K$22+$K$19*I113/$J$22+$L$19),0)</f>
        <v>0</v>
      </c>
      <c r="M113" s="294">
        <f>INDEX(AUXILIAR!I35:I310,'CÁLCULO REVISIÓN'!$B$27)</f>
        <v>42767</v>
      </c>
      <c r="N113" s="159"/>
      <c r="O113" s="159"/>
      <c r="P113" s="159"/>
      <c r="Q113" s="159"/>
      <c r="R113" s="159"/>
      <c r="S113" s="159"/>
      <c r="T113" s="47"/>
      <c r="U113" s="47"/>
      <c r="V113" s="47"/>
      <c r="W113" s="47"/>
      <c r="X113" s="47"/>
      <c r="Y113" s="47"/>
      <c r="Z113" s="47"/>
    </row>
    <row r="114" spans="1:26" s="4" customFormat="1" ht="12.75">
      <c r="A114" s="292">
        <f t="shared" si="4"/>
        <v>36</v>
      </c>
      <c r="B114" s="300">
        <f t="shared" si="5"/>
        <v>255</v>
      </c>
      <c r="C114" s="458">
        <f>IF($B61&gt;AUXILIAR!$A$39,0,INDEX(INDICES!$C$11:$K$313,'CÁLCULO REVISIÓN'!$B61,1))</f>
        <v>0</v>
      </c>
      <c r="D114" s="458">
        <f>IF($B61&gt;AUXILIAR!$A$39,0,INDEX(INDICES!$C$11:$K$313,'CÁLCULO REVISIÓN'!$B61,2))</f>
        <v>0</v>
      </c>
      <c r="E114" s="458">
        <f>IF($B61&gt;AUXILIAR!$A$39,0,INDEX(INDICES!$C$11:$K$313,'CÁLCULO REVISIÓN'!$B61,3))</f>
        <v>0</v>
      </c>
      <c r="F114" s="458">
        <f>IF($B61&gt;AUXILIAR!$A$39,0,INDEX(INDICES!$C$11:$K$313,'CÁLCULO REVISIÓN'!$B61,4))</f>
        <v>0</v>
      </c>
      <c r="G114" s="458">
        <f>IF($B61&gt;AUXILIAR!$A$39,0,INDEX(INDICES!$C$11:$K$313,'CÁLCULO REVISIÓN'!$B61,5))</f>
        <v>0</v>
      </c>
      <c r="H114" s="458">
        <f>IF($B61&gt;AUXILIAR!$A$39,0,INDEX(INDICES!$C$11:$K$313,'CÁLCULO REVISIÓN'!$B61,6))</f>
        <v>0</v>
      </c>
      <c r="I114" s="458">
        <f>IF($B61&gt;AUXILIAR!$A$39,0,INDEX(INDICES!$C$11:$K$313,'CÁLCULO REVISIÓN'!$B61,7))</f>
        <v>0</v>
      </c>
      <c r="J114" s="458">
        <f>IF($B61&gt;AUXILIAR!$A$39,0,INDEX(INDICES!$C$11:$K$313,'CÁLCULO REVISIÓN'!$B61,8))</f>
        <v>0</v>
      </c>
      <c r="K114" s="458">
        <f>IF($B61&gt;AUXILIAR!$A$39,0,INDEX(INDICES!$C$11:$K$313,'CÁLCULO REVISIÓN'!$B61,9))</f>
        <v>0</v>
      </c>
      <c r="L114" s="293">
        <f>IF(AUXILIAR!$D$11=2,IF($B114&gt;AUXILIAR!$A$39,0,$C$19*C114/$D$22+$D$19*H114/$I$22+$E$19*D114/$E$22+$F$19*G114/$H$22+$G$19*K114/$L$22+$H$19*E114/$F$22+$I$19*F114/$G$22+$J$19*J114/$K$22+$K$19*I114/$J$22+$L$19),0)</f>
        <v>0</v>
      </c>
      <c r="M114" s="294">
        <f>INDEX(AUXILIAR!I36:I311,'CÁLCULO REVISIÓN'!$B$27)</f>
        <v>42795</v>
      </c>
      <c r="N114" s="159"/>
      <c r="O114" s="159"/>
      <c r="P114" s="159"/>
      <c r="Q114" s="159"/>
      <c r="R114" s="159"/>
      <c r="S114" s="159"/>
      <c r="T114" s="47"/>
      <c r="U114" s="47"/>
      <c r="V114" s="47"/>
      <c r="W114" s="47"/>
      <c r="X114" s="47"/>
      <c r="Y114" s="47"/>
      <c r="Z114" s="47"/>
    </row>
    <row r="115" spans="1:26" s="4" customFormat="1" ht="12.75">
      <c r="A115" s="292">
        <f t="shared" si="4"/>
        <v>37</v>
      </c>
      <c r="B115" s="300">
        <f t="shared" si="5"/>
        <v>256</v>
      </c>
      <c r="C115" s="458">
        <f>IF($B62&gt;AUXILIAR!$A$39,0,INDEX(INDICES!$C$11:$K$313,'CÁLCULO REVISIÓN'!$B62,1))</f>
        <v>0</v>
      </c>
      <c r="D115" s="458">
        <f>IF($B62&gt;AUXILIAR!$A$39,0,INDEX(INDICES!$C$11:$K$313,'CÁLCULO REVISIÓN'!$B62,2))</f>
        <v>0</v>
      </c>
      <c r="E115" s="458">
        <f>IF($B62&gt;AUXILIAR!$A$39,0,INDEX(INDICES!$C$11:$K$313,'CÁLCULO REVISIÓN'!$B62,3))</f>
        <v>0</v>
      </c>
      <c r="F115" s="458">
        <f>IF($B62&gt;AUXILIAR!$A$39,0,INDEX(INDICES!$C$11:$K$313,'CÁLCULO REVISIÓN'!$B62,4))</f>
        <v>0</v>
      </c>
      <c r="G115" s="458">
        <f>IF($B62&gt;AUXILIAR!$A$39,0,INDEX(INDICES!$C$11:$K$313,'CÁLCULO REVISIÓN'!$B62,5))</f>
        <v>0</v>
      </c>
      <c r="H115" s="458">
        <f>IF($B62&gt;AUXILIAR!$A$39,0,INDEX(INDICES!$C$11:$K$313,'CÁLCULO REVISIÓN'!$B62,6))</f>
        <v>0</v>
      </c>
      <c r="I115" s="458">
        <f>IF($B62&gt;AUXILIAR!$A$39,0,INDEX(INDICES!$C$11:$K$313,'CÁLCULO REVISIÓN'!$B62,7))</f>
        <v>0</v>
      </c>
      <c r="J115" s="458">
        <f>IF($B62&gt;AUXILIAR!$A$39,0,INDEX(INDICES!$C$11:$K$313,'CÁLCULO REVISIÓN'!$B62,8))</f>
        <v>0</v>
      </c>
      <c r="K115" s="458">
        <f>IF($B62&gt;AUXILIAR!$A$39,0,INDEX(INDICES!$C$11:$K$313,'CÁLCULO REVISIÓN'!$B62,9))</f>
        <v>0</v>
      </c>
      <c r="L115" s="293">
        <f>IF(AUXILIAR!$D$11=2,IF($B115&gt;AUXILIAR!$A$39,0,$C$19*C115/$D$22+$D$19*H115/$I$22+$E$19*D115/$E$22+$F$19*G115/$H$22+$G$19*K115/$L$22+$H$19*E115/$F$22+$I$19*F115/$G$22+$J$19*J115/$K$22+$K$19*I115/$J$22+$L$19),0)</f>
        <v>0</v>
      </c>
      <c r="M115" s="294">
        <f>INDEX(AUXILIAR!I37:I312,'CÁLCULO REVISIÓN'!$B$27)</f>
        <v>42826</v>
      </c>
      <c r="N115" s="159"/>
      <c r="O115" s="159"/>
      <c r="P115" s="159"/>
      <c r="Q115" s="159"/>
      <c r="R115" s="159"/>
      <c r="S115" s="159"/>
      <c r="T115" s="47"/>
      <c r="U115" s="47"/>
      <c r="V115" s="47"/>
      <c r="W115" s="47"/>
      <c r="X115" s="47"/>
      <c r="Y115" s="47"/>
      <c r="Z115" s="47"/>
    </row>
    <row r="116" spans="1:26" s="4" customFormat="1" ht="12.75">
      <c r="A116" s="292">
        <f t="shared" si="4"/>
        <v>38</v>
      </c>
      <c r="B116" s="300">
        <f t="shared" si="5"/>
        <v>257</v>
      </c>
      <c r="C116" s="458">
        <f>IF($B63&gt;AUXILIAR!$A$39,0,INDEX(INDICES!$C$11:$K$313,'CÁLCULO REVISIÓN'!$B63,1))</f>
        <v>0</v>
      </c>
      <c r="D116" s="458">
        <f>IF($B63&gt;AUXILIAR!$A$39,0,INDEX(INDICES!$C$11:$K$313,'CÁLCULO REVISIÓN'!$B63,2))</f>
        <v>0</v>
      </c>
      <c r="E116" s="458">
        <f>IF($B63&gt;AUXILIAR!$A$39,0,INDEX(INDICES!$C$11:$K$313,'CÁLCULO REVISIÓN'!$B63,3))</f>
        <v>0</v>
      </c>
      <c r="F116" s="458">
        <f>IF($B63&gt;AUXILIAR!$A$39,0,INDEX(INDICES!$C$11:$K$313,'CÁLCULO REVISIÓN'!$B63,4))</f>
        <v>0</v>
      </c>
      <c r="G116" s="458">
        <f>IF($B63&gt;AUXILIAR!$A$39,0,INDEX(INDICES!$C$11:$K$313,'CÁLCULO REVISIÓN'!$B63,5))</f>
        <v>0</v>
      </c>
      <c r="H116" s="458">
        <f>IF($B63&gt;AUXILIAR!$A$39,0,INDEX(INDICES!$C$11:$K$313,'CÁLCULO REVISIÓN'!$B63,6))</f>
        <v>0</v>
      </c>
      <c r="I116" s="458">
        <f>IF($B63&gt;AUXILIAR!$A$39,0,INDEX(INDICES!$C$11:$K$313,'CÁLCULO REVISIÓN'!$B63,7))</f>
        <v>0</v>
      </c>
      <c r="J116" s="458">
        <f>IF($B63&gt;AUXILIAR!$A$39,0,INDEX(INDICES!$C$11:$K$313,'CÁLCULO REVISIÓN'!$B63,8))</f>
        <v>0</v>
      </c>
      <c r="K116" s="458">
        <f>IF($B63&gt;AUXILIAR!$A$39,0,INDEX(INDICES!$C$11:$K$313,'CÁLCULO REVISIÓN'!$B63,9))</f>
        <v>0</v>
      </c>
      <c r="L116" s="293">
        <f>IF(AUXILIAR!$D$11=2,IF($B116&gt;AUXILIAR!$A$39,0,$C$19*C116/$D$22+$D$19*H116/$I$22+$E$19*D116/$E$22+$F$19*G116/$H$22+$G$19*K116/$L$22+$H$19*E116/$F$22+$I$19*F116/$G$22+$J$19*J116/$K$22+$K$19*I116/$J$22+$L$19),0)</f>
        <v>0</v>
      </c>
      <c r="M116" s="294">
        <f>INDEX(AUXILIAR!I38:I313,'CÁLCULO REVISIÓN'!$B$27)</f>
        <v>42856</v>
      </c>
      <c r="N116" s="159"/>
      <c r="O116" s="159"/>
      <c r="P116" s="159"/>
      <c r="Q116" s="159"/>
      <c r="R116" s="159"/>
      <c r="S116" s="159"/>
      <c r="T116" s="47"/>
      <c r="U116" s="47"/>
      <c r="V116" s="47"/>
      <c r="W116" s="47"/>
      <c r="X116" s="47"/>
      <c r="Y116" s="47"/>
      <c r="Z116" s="47"/>
    </row>
    <row r="117" spans="1:26" s="4" customFormat="1" ht="12.75">
      <c r="A117" s="292">
        <f t="shared" si="4"/>
        <v>39</v>
      </c>
      <c r="B117" s="300">
        <f t="shared" si="5"/>
        <v>258</v>
      </c>
      <c r="C117" s="458">
        <f>IF($B64&gt;AUXILIAR!$A$39,0,INDEX(INDICES!$C$11:$K$313,'CÁLCULO REVISIÓN'!$B64,1))</f>
        <v>0</v>
      </c>
      <c r="D117" s="458">
        <f>IF($B64&gt;AUXILIAR!$A$39,0,INDEX(INDICES!$C$11:$K$313,'CÁLCULO REVISIÓN'!$B64,2))</f>
        <v>0</v>
      </c>
      <c r="E117" s="458">
        <f>IF($B64&gt;AUXILIAR!$A$39,0,INDEX(INDICES!$C$11:$K$313,'CÁLCULO REVISIÓN'!$B64,3))</f>
        <v>0</v>
      </c>
      <c r="F117" s="458">
        <f>IF($B64&gt;AUXILIAR!$A$39,0,INDEX(INDICES!$C$11:$K$313,'CÁLCULO REVISIÓN'!$B64,4))</f>
        <v>0</v>
      </c>
      <c r="G117" s="458">
        <f>IF($B64&gt;AUXILIAR!$A$39,0,INDEX(INDICES!$C$11:$K$313,'CÁLCULO REVISIÓN'!$B64,5))</f>
        <v>0</v>
      </c>
      <c r="H117" s="458">
        <f>IF($B64&gt;AUXILIAR!$A$39,0,INDEX(INDICES!$C$11:$K$313,'CÁLCULO REVISIÓN'!$B64,6))</f>
        <v>0</v>
      </c>
      <c r="I117" s="458">
        <f>IF($B64&gt;AUXILIAR!$A$39,0,INDEX(INDICES!$C$11:$K$313,'CÁLCULO REVISIÓN'!$B64,7))</f>
        <v>0</v>
      </c>
      <c r="J117" s="458">
        <f>IF($B64&gt;AUXILIAR!$A$39,0,INDEX(INDICES!$C$11:$K$313,'CÁLCULO REVISIÓN'!$B64,8))</f>
        <v>0</v>
      </c>
      <c r="K117" s="458">
        <f>IF($B64&gt;AUXILIAR!$A$39,0,INDEX(INDICES!$C$11:$K$313,'CÁLCULO REVISIÓN'!$B64,9))</f>
        <v>0</v>
      </c>
      <c r="L117" s="293">
        <f>IF(AUXILIAR!$D$11=2,IF($B117&gt;AUXILIAR!$A$39,0,$C$19*C117/$D$22+$D$19*H117/$I$22+$E$19*D117/$E$22+$F$19*G117/$H$22+$G$19*K117/$L$22+$H$19*E117/$F$22+$I$19*F117/$G$22+$J$19*J117/$K$22+$K$19*I117/$J$22+$L$19),0)</f>
        <v>0</v>
      </c>
      <c r="M117" s="294">
        <f>INDEX(AUXILIAR!I39:I314,'CÁLCULO REVISIÓN'!$B$27)</f>
        <v>42887</v>
      </c>
      <c r="N117" s="159"/>
      <c r="O117" s="159"/>
      <c r="P117" s="159"/>
      <c r="Q117" s="159"/>
      <c r="R117" s="159"/>
      <c r="S117" s="159"/>
      <c r="T117" s="47"/>
      <c r="U117" s="47"/>
      <c r="V117" s="47"/>
      <c r="W117" s="47"/>
      <c r="X117" s="47"/>
      <c r="Y117" s="47"/>
      <c r="Z117" s="47"/>
    </row>
    <row r="118" spans="1:26" s="4" customFormat="1" ht="12.75">
      <c r="A118" s="292">
        <f t="shared" si="4"/>
        <v>40</v>
      </c>
      <c r="B118" s="300">
        <f t="shared" si="5"/>
        <v>259</v>
      </c>
      <c r="C118" s="458">
        <f>IF($B65&gt;AUXILIAR!$A$39,0,INDEX(INDICES!$C$11:$K$313,'CÁLCULO REVISIÓN'!$B65,1))</f>
        <v>0</v>
      </c>
      <c r="D118" s="458">
        <f>IF($B65&gt;AUXILIAR!$A$39,0,INDEX(INDICES!$C$11:$K$313,'CÁLCULO REVISIÓN'!$B65,2))</f>
        <v>0</v>
      </c>
      <c r="E118" s="458">
        <f>IF($B65&gt;AUXILIAR!$A$39,0,INDEX(INDICES!$C$11:$K$313,'CÁLCULO REVISIÓN'!$B65,3))</f>
        <v>0</v>
      </c>
      <c r="F118" s="458">
        <f>IF($B65&gt;AUXILIAR!$A$39,0,INDEX(INDICES!$C$11:$K$313,'CÁLCULO REVISIÓN'!$B65,4))</f>
        <v>0</v>
      </c>
      <c r="G118" s="458">
        <f>IF($B65&gt;AUXILIAR!$A$39,0,INDEX(INDICES!$C$11:$K$313,'CÁLCULO REVISIÓN'!$B65,5))</f>
        <v>0</v>
      </c>
      <c r="H118" s="458">
        <f>IF($B65&gt;AUXILIAR!$A$39,0,INDEX(INDICES!$C$11:$K$313,'CÁLCULO REVISIÓN'!$B65,6))</f>
        <v>0</v>
      </c>
      <c r="I118" s="458">
        <f>IF($B65&gt;AUXILIAR!$A$39,0,INDEX(INDICES!$C$11:$K$313,'CÁLCULO REVISIÓN'!$B65,7))</f>
        <v>0</v>
      </c>
      <c r="J118" s="458">
        <f>IF($B65&gt;AUXILIAR!$A$39,0,INDEX(INDICES!$C$11:$K$313,'CÁLCULO REVISIÓN'!$B65,8))</f>
        <v>0</v>
      </c>
      <c r="K118" s="458">
        <f>IF($B65&gt;AUXILIAR!$A$39,0,INDEX(INDICES!$C$11:$K$313,'CÁLCULO REVISIÓN'!$B65,9))</f>
        <v>0</v>
      </c>
      <c r="L118" s="293">
        <f>IF(AUXILIAR!$D$11=2,IF($B118&gt;AUXILIAR!$A$39,0,$C$19*C118/$D$22+$D$19*H118/$I$22+$E$19*D118/$E$22+$F$19*G118/$H$22+$G$19*K118/$L$22+$H$19*E118/$F$22+$I$19*F118/$G$22+$J$19*J118/$K$22+$K$19*I118/$J$22+$L$19),0)</f>
        <v>0</v>
      </c>
      <c r="M118" s="294">
        <f>INDEX(AUXILIAR!I40:I315,'CÁLCULO REVISIÓN'!$B$27)</f>
        <v>42917</v>
      </c>
      <c r="N118" s="159"/>
      <c r="O118" s="159"/>
      <c r="P118" s="159"/>
      <c r="Q118" s="159"/>
      <c r="R118" s="159"/>
      <c r="S118" s="159"/>
      <c r="T118" s="47"/>
      <c r="U118" s="47"/>
      <c r="V118" s="47"/>
      <c r="W118" s="47"/>
      <c r="X118" s="47"/>
      <c r="Y118" s="47"/>
      <c r="Z118" s="47"/>
    </row>
    <row r="119" spans="1:26" s="4" customFormat="1" ht="12.75">
      <c r="A119" s="292">
        <f t="shared" si="4"/>
        <v>41</v>
      </c>
      <c r="B119" s="300">
        <f t="shared" si="5"/>
        <v>260</v>
      </c>
      <c r="C119" s="458">
        <f>IF($B66&gt;AUXILIAR!$A$39,0,INDEX(INDICES!$C$11:$K$313,'CÁLCULO REVISIÓN'!$B66,1))</f>
        <v>0</v>
      </c>
      <c r="D119" s="458">
        <f>IF($B66&gt;AUXILIAR!$A$39,0,INDEX(INDICES!$C$11:$K$313,'CÁLCULO REVISIÓN'!$B66,2))</f>
        <v>0</v>
      </c>
      <c r="E119" s="458">
        <f>IF($B66&gt;AUXILIAR!$A$39,0,INDEX(INDICES!$C$11:$K$313,'CÁLCULO REVISIÓN'!$B66,3))</f>
        <v>0</v>
      </c>
      <c r="F119" s="458">
        <f>IF($B66&gt;AUXILIAR!$A$39,0,INDEX(INDICES!$C$11:$K$313,'CÁLCULO REVISIÓN'!$B66,4))</f>
        <v>0</v>
      </c>
      <c r="G119" s="458">
        <f>IF($B66&gt;AUXILIAR!$A$39,0,INDEX(INDICES!$C$11:$K$313,'CÁLCULO REVISIÓN'!$B66,5))</f>
        <v>0</v>
      </c>
      <c r="H119" s="458">
        <f>IF($B66&gt;AUXILIAR!$A$39,0,INDEX(INDICES!$C$11:$K$313,'CÁLCULO REVISIÓN'!$B66,6))</f>
        <v>0</v>
      </c>
      <c r="I119" s="458">
        <f>IF($B66&gt;AUXILIAR!$A$39,0,INDEX(INDICES!$C$11:$K$313,'CÁLCULO REVISIÓN'!$B66,7))</f>
        <v>0</v>
      </c>
      <c r="J119" s="458">
        <f>IF($B66&gt;AUXILIAR!$A$39,0,INDEX(INDICES!$C$11:$K$313,'CÁLCULO REVISIÓN'!$B66,8))</f>
        <v>0</v>
      </c>
      <c r="K119" s="458">
        <f>IF($B66&gt;AUXILIAR!$A$39,0,INDEX(INDICES!$C$11:$K$313,'CÁLCULO REVISIÓN'!$B66,9))</f>
        <v>0</v>
      </c>
      <c r="L119" s="293">
        <f>IF(AUXILIAR!$D$11=2,IF($B119&gt;AUXILIAR!$A$39,0,$C$19*C119/$D$22+$D$19*H119/$I$22+$E$19*D119/$E$22+$F$19*G119/$H$22+$G$19*K119/$L$22+$H$19*E119/$F$22+$I$19*F119/$G$22+$J$19*J119/$K$22+$K$19*I119/$J$22+$L$19),0)</f>
        <v>0</v>
      </c>
      <c r="M119" s="294">
        <f>INDEX(AUXILIAR!I41:I316,'CÁLCULO REVISIÓN'!$B$27)</f>
        <v>42948</v>
      </c>
      <c r="N119" s="159"/>
      <c r="O119" s="159"/>
      <c r="P119" s="159"/>
      <c r="Q119" s="159"/>
      <c r="R119" s="159"/>
      <c r="S119" s="159"/>
      <c r="T119" s="47"/>
      <c r="U119" s="47"/>
      <c r="V119" s="47"/>
      <c r="W119" s="47"/>
      <c r="X119" s="47"/>
      <c r="Y119" s="47"/>
      <c r="Z119" s="47"/>
    </row>
    <row r="120" spans="1:26" s="4" customFormat="1" ht="12.75">
      <c r="A120" s="292">
        <f t="shared" si="4"/>
        <v>42</v>
      </c>
      <c r="B120" s="300">
        <f t="shared" si="5"/>
        <v>261</v>
      </c>
      <c r="C120" s="458">
        <f>IF($B67&gt;AUXILIAR!$A$39,0,INDEX(INDICES!$C$11:$K$313,'CÁLCULO REVISIÓN'!$B67,1))</f>
        <v>0</v>
      </c>
      <c r="D120" s="458">
        <f>IF($B67&gt;AUXILIAR!$A$39,0,INDEX(INDICES!$C$11:$K$313,'CÁLCULO REVISIÓN'!$B67,2))</f>
        <v>0</v>
      </c>
      <c r="E120" s="458">
        <f>IF($B67&gt;AUXILIAR!$A$39,0,INDEX(INDICES!$C$11:$K$313,'CÁLCULO REVISIÓN'!$B67,3))</f>
        <v>0</v>
      </c>
      <c r="F120" s="458">
        <f>IF($B67&gt;AUXILIAR!$A$39,0,INDEX(INDICES!$C$11:$K$313,'CÁLCULO REVISIÓN'!$B67,4))</f>
        <v>0</v>
      </c>
      <c r="G120" s="458">
        <f>IF($B67&gt;AUXILIAR!$A$39,0,INDEX(INDICES!$C$11:$K$313,'CÁLCULO REVISIÓN'!$B67,5))</f>
        <v>0</v>
      </c>
      <c r="H120" s="458">
        <f>IF($B67&gt;AUXILIAR!$A$39,0,INDEX(INDICES!$C$11:$K$313,'CÁLCULO REVISIÓN'!$B67,6))</f>
        <v>0</v>
      </c>
      <c r="I120" s="458">
        <f>IF($B67&gt;AUXILIAR!$A$39,0,INDEX(INDICES!$C$11:$K$313,'CÁLCULO REVISIÓN'!$B67,7))</f>
        <v>0</v>
      </c>
      <c r="J120" s="458">
        <f>IF($B67&gt;AUXILIAR!$A$39,0,INDEX(INDICES!$C$11:$K$313,'CÁLCULO REVISIÓN'!$B67,8))</f>
        <v>0</v>
      </c>
      <c r="K120" s="458">
        <f>IF($B67&gt;AUXILIAR!$A$39,0,INDEX(INDICES!$C$11:$K$313,'CÁLCULO REVISIÓN'!$B67,9))</f>
        <v>0</v>
      </c>
      <c r="L120" s="293">
        <f>IF(AUXILIAR!$D$11=2,IF($B120&gt;AUXILIAR!$A$39,0,$C$19*C120/$D$22+$D$19*H120/$I$22+$E$19*D120/$E$22+$F$19*G120/$H$22+$G$19*K120/$L$22+$H$19*E120/$F$22+$I$19*F120/$G$22+$J$19*J120/$K$22+$K$19*I120/$J$22+$L$19),0)</f>
        <v>0</v>
      </c>
      <c r="M120" s="294">
        <f>INDEX(AUXILIAR!I42:I317,'CÁLCULO REVISIÓN'!$B$27)</f>
        <v>42979</v>
      </c>
      <c r="N120" s="159"/>
      <c r="O120" s="159"/>
      <c r="P120" s="159"/>
      <c r="Q120" s="159"/>
      <c r="R120" s="159"/>
      <c r="S120" s="159"/>
      <c r="T120" s="47"/>
      <c r="U120" s="47"/>
      <c r="V120" s="47"/>
      <c r="W120" s="47"/>
      <c r="X120" s="47"/>
      <c r="Y120" s="47"/>
      <c r="Z120" s="47"/>
    </row>
    <row r="121" spans="1:26" s="4" customFormat="1" ht="12.75">
      <c r="A121" s="292">
        <f t="shared" si="4"/>
        <v>43</v>
      </c>
      <c r="B121" s="300">
        <f t="shared" si="5"/>
        <v>262</v>
      </c>
      <c r="C121" s="458">
        <f>IF($B68&gt;AUXILIAR!$A$39,0,INDEX(INDICES!$C$11:$K$313,'CÁLCULO REVISIÓN'!$B68,1))</f>
        <v>0</v>
      </c>
      <c r="D121" s="458">
        <f>IF($B68&gt;AUXILIAR!$A$39,0,INDEX(INDICES!$C$11:$K$313,'CÁLCULO REVISIÓN'!$B68,2))</f>
        <v>0</v>
      </c>
      <c r="E121" s="458">
        <f>IF($B68&gt;AUXILIAR!$A$39,0,INDEX(INDICES!$C$11:$K$313,'CÁLCULO REVISIÓN'!$B68,3))</f>
        <v>0</v>
      </c>
      <c r="F121" s="458">
        <f>IF($B68&gt;AUXILIAR!$A$39,0,INDEX(INDICES!$C$11:$K$313,'CÁLCULO REVISIÓN'!$B68,4))</f>
        <v>0</v>
      </c>
      <c r="G121" s="458">
        <f>IF($B68&gt;AUXILIAR!$A$39,0,INDEX(INDICES!$C$11:$K$313,'CÁLCULO REVISIÓN'!$B68,5))</f>
        <v>0</v>
      </c>
      <c r="H121" s="458">
        <f>IF($B68&gt;AUXILIAR!$A$39,0,INDEX(INDICES!$C$11:$K$313,'CÁLCULO REVISIÓN'!$B68,6))</f>
        <v>0</v>
      </c>
      <c r="I121" s="458">
        <f>IF($B68&gt;AUXILIAR!$A$39,0,INDEX(INDICES!$C$11:$K$313,'CÁLCULO REVISIÓN'!$B68,7))</f>
        <v>0</v>
      </c>
      <c r="J121" s="458">
        <f>IF($B68&gt;AUXILIAR!$A$39,0,INDEX(INDICES!$C$11:$K$313,'CÁLCULO REVISIÓN'!$B68,8))</f>
        <v>0</v>
      </c>
      <c r="K121" s="458">
        <f>IF($B68&gt;AUXILIAR!$A$39,0,INDEX(INDICES!$C$11:$K$313,'CÁLCULO REVISIÓN'!$B68,9))</f>
        <v>0</v>
      </c>
      <c r="L121" s="293">
        <f>IF(AUXILIAR!$D$11=2,IF($B121&gt;AUXILIAR!$A$39,0,$C$19*C121/$D$22+$D$19*H121/$I$22+$E$19*D121/$E$22+$F$19*G121/$H$22+$G$19*K121/$L$22+$H$19*E121/$F$22+$I$19*F121/$G$22+$J$19*J121/$K$22+$K$19*I121/$J$22+$L$19),0)</f>
        <v>0</v>
      </c>
      <c r="M121" s="294">
        <f>INDEX(AUXILIAR!I43:I318,'CÁLCULO REVISIÓN'!$B$27)</f>
        <v>43009</v>
      </c>
      <c r="N121" s="159"/>
      <c r="O121" s="159"/>
      <c r="P121" s="159"/>
      <c r="Q121" s="159"/>
      <c r="R121" s="159"/>
      <c r="S121" s="159"/>
      <c r="T121" s="47"/>
      <c r="U121" s="47"/>
      <c r="V121" s="47"/>
      <c r="W121" s="47"/>
      <c r="X121" s="47"/>
      <c r="Y121" s="47"/>
      <c r="Z121" s="47"/>
    </row>
    <row r="122" spans="1:26" s="4" customFormat="1" ht="12.75">
      <c r="A122" s="292">
        <f t="shared" si="4"/>
        <v>44</v>
      </c>
      <c r="B122" s="300">
        <f t="shared" si="5"/>
        <v>263</v>
      </c>
      <c r="C122" s="458">
        <f>IF($B69&gt;AUXILIAR!$A$39,0,INDEX(INDICES!$C$11:$K$313,'CÁLCULO REVISIÓN'!$B69,1))</f>
        <v>0</v>
      </c>
      <c r="D122" s="458">
        <f>IF($B69&gt;AUXILIAR!$A$39,0,INDEX(INDICES!$C$11:$K$313,'CÁLCULO REVISIÓN'!$B69,2))</f>
        <v>0</v>
      </c>
      <c r="E122" s="458">
        <f>IF($B69&gt;AUXILIAR!$A$39,0,INDEX(INDICES!$C$11:$K$313,'CÁLCULO REVISIÓN'!$B69,3))</f>
        <v>0</v>
      </c>
      <c r="F122" s="458">
        <f>IF($B69&gt;AUXILIAR!$A$39,0,INDEX(INDICES!$C$11:$K$313,'CÁLCULO REVISIÓN'!$B69,4))</f>
        <v>0</v>
      </c>
      <c r="G122" s="458">
        <f>IF($B69&gt;AUXILIAR!$A$39,0,INDEX(INDICES!$C$11:$K$313,'CÁLCULO REVISIÓN'!$B69,5))</f>
        <v>0</v>
      </c>
      <c r="H122" s="458">
        <f>IF($B69&gt;AUXILIAR!$A$39,0,INDEX(INDICES!$C$11:$K$313,'CÁLCULO REVISIÓN'!$B69,6))</f>
        <v>0</v>
      </c>
      <c r="I122" s="458">
        <f>IF($B69&gt;AUXILIAR!$A$39,0,INDEX(INDICES!$C$11:$K$313,'CÁLCULO REVISIÓN'!$B69,7))</f>
        <v>0</v>
      </c>
      <c r="J122" s="458">
        <f>IF($B69&gt;AUXILIAR!$A$39,0,INDEX(INDICES!$C$11:$K$313,'CÁLCULO REVISIÓN'!$B69,8))</f>
        <v>0</v>
      </c>
      <c r="K122" s="458">
        <f>IF($B69&gt;AUXILIAR!$A$39,0,INDEX(INDICES!$C$11:$K$313,'CÁLCULO REVISIÓN'!$B69,9))</f>
        <v>0</v>
      </c>
      <c r="L122" s="293">
        <f>IF(AUXILIAR!$D$11=2,IF($B122&gt;AUXILIAR!$A$39,0,$C$19*C122/$D$22+$D$19*H122/$I$22+$E$19*D122/$E$22+$F$19*G122/$H$22+$G$19*K122/$L$22+$H$19*E122/$F$22+$I$19*F122/$G$22+$J$19*J122/$K$22+$K$19*I122/$J$22+$L$19),0)</f>
        <v>0</v>
      </c>
      <c r="M122" s="294">
        <f>INDEX(AUXILIAR!I44:I319,'CÁLCULO REVISIÓN'!$B$27)</f>
        <v>43040</v>
      </c>
      <c r="N122" s="159"/>
      <c r="O122" s="159"/>
      <c r="P122" s="159"/>
      <c r="Q122" s="159"/>
      <c r="R122" s="159"/>
      <c r="S122" s="159"/>
      <c r="T122" s="47"/>
      <c r="U122" s="47"/>
      <c r="V122" s="47"/>
      <c r="W122" s="47"/>
      <c r="X122" s="47"/>
      <c r="Y122" s="47"/>
      <c r="Z122" s="47"/>
    </row>
    <row r="123" spans="1:26" s="4" customFormat="1" ht="12.75">
      <c r="A123" s="292">
        <f t="shared" si="4"/>
        <v>45</v>
      </c>
      <c r="B123" s="300">
        <f t="shared" si="5"/>
        <v>264</v>
      </c>
      <c r="C123" s="458">
        <f>IF($B70&gt;AUXILIAR!$A$39,0,INDEX(INDICES!$C$11:$K$313,'CÁLCULO REVISIÓN'!$B70,1))</f>
        <v>0</v>
      </c>
      <c r="D123" s="458">
        <f>IF($B70&gt;AUXILIAR!$A$39,0,INDEX(INDICES!$C$11:$K$313,'CÁLCULO REVISIÓN'!$B70,2))</f>
        <v>0</v>
      </c>
      <c r="E123" s="458">
        <f>IF($B70&gt;AUXILIAR!$A$39,0,INDEX(INDICES!$C$11:$K$313,'CÁLCULO REVISIÓN'!$B70,3))</f>
        <v>0</v>
      </c>
      <c r="F123" s="458">
        <f>IF($B70&gt;AUXILIAR!$A$39,0,INDEX(INDICES!$C$11:$K$313,'CÁLCULO REVISIÓN'!$B70,4))</f>
        <v>0</v>
      </c>
      <c r="G123" s="458">
        <f>IF($B70&gt;AUXILIAR!$A$39,0,INDEX(INDICES!$C$11:$K$313,'CÁLCULO REVISIÓN'!$B70,5))</f>
        <v>0</v>
      </c>
      <c r="H123" s="458">
        <f>IF($B70&gt;AUXILIAR!$A$39,0,INDEX(INDICES!$C$11:$K$313,'CÁLCULO REVISIÓN'!$B70,6))</f>
        <v>0</v>
      </c>
      <c r="I123" s="458">
        <f>IF($B70&gt;AUXILIAR!$A$39,0,INDEX(INDICES!$C$11:$K$313,'CÁLCULO REVISIÓN'!$B70,7))</f>
        <v>0</v>
      </c>
      <c r="J123" s="458">
        <f>IF($B70&gt;AUXILIAR!$A$39,0,INDEX(INDICES!$C$11:$K$313,'CÁLCULO REVISIÓN'!$B70,8))</f>
        <v>0</v>
      </c>
      <c r="K123" s="458">
        <f>IF($B70&gt;AUXILIAR!$A$39,0,INDEX(INDICES!$C$11:$K$313,'CÁLCULO REVISIÓN'!$B70,9))</f>
        <v>0</v>
      </c>
      <c r="L123" s="293">
        <f>IF(AUXILIAR!$D$11=2,IF($B123&gt;AUXILIAR!$A$39,0,$C$19*C123/$D$22+$D$19*H123/$I$22+$E$19*D123/$E$22+$F$19*G123/$H$22+$G$19*K123/$L$22+$H$19*E123/$F$22+$I$19*F123/$G$22+$J$19*J123/$K$22+$K$19*I123/$J$22+$L$19),0)</f>
        <v>0</v>
      </c>
      <c r="M123" s="294">
        <f>INDEX(AUXILIAR!I45:I320,'CÁLCULO REVISIÓN'!$B$27)</f>
        <v>43070</v>
      </c>
      <c r="N123" s="159"/>
      <c r="O123" s="159"/>
      <c r="P123" s="159"/>
      <c r="Q123" s="159"/>
      <c r="R123" s="159"/>
      <c r="S123" s="159"/>
      <c r="T123" s="47"/>
      <c r="U123" s="47"/>
      <c r="V123" s="47"/>
      <c r="W123" s="47"/>
      <c r="X123" s="47"/>
      <c r="Y123" s="47"/>
      <c r="Z123" s="47"/>
    </row>
    <row r="124" spans="1:26" s="4" customFormat="1" ht="12.75">
      <c r="A124" s="292">
        <f t="shared" si="4"/>
        <v>46</v>
      </c>
      <c r="B124" s="300">
        <f t="shared" si="5"/>
        <v>265</v>
      </c>
      <c r="C124" s="458">
        <f>IF($B71&gt;AUXILIAR!$A$39,0,INDEX(INDICES!$C$11:$K$313,'CÁLCULO REVISIÓN'!$B71,1))</f>
        <v>0</v>
      </c>
      <c r="D124" s="458">
        <f>IF($B71&gt;AUXILIAR!$A$39,0,INDEX(INDICES!$C$11:$K$313,'CÁLCULO REVISIÓN'!$B71,2))</f>
        <v>0</v>
      </c>
      <c r="E124" s="458">
        <f>IF($B71&gt;AUXILIAR!$A$39,0,INDEX(INDICES!$C$11:$K$313,'CÁLCULO REVISIÓN'!$B71,3))</f>
        <v>0</v>
      </c>
      <c r="F124" s="458">
        <f>IF($B71&gt;AUXILIAR!$A$39,0,INDEX(INDICES!$C$11:$K$313,'CÁLCULO REVISIÓN'!$B71,4))</f>
        <v>0</v>
      </c>
      <c r="G124" s="458">
        <f>IF($B71&gt;AUXILIAR!$A$39,0,INDEX(INDICES!$C$11:$K$313,'CÁLCULO REVISIÓN'!$B71,5))</f>
        <v>0</v>
      </c>
      <c r="H124" s="458">
        <f>IF($B71&gt;AUXILIAR!$A$39,0,INDEX(INDICES!$C$11:$K$313,'CÁLCULO REVISIÓN'!$B71,6))</f>
        <v>0</v>
      </c>
      <c r="I124" s="458">
        <f>IF($B71&gt;AUXILIAR!$A$39,0,INDEX(INDICES!$C$11:$K$313,'CÁLCULO REVISIÓN'!$B71,7))</f>
        <v>0</v>
      </c>
      <c r="J124" s="458">
        <f>IF($B71&gt;AUXILIAR!$A$39,0,INDEX(INDICES!$C$11:$K$313,'CÁLCULO REVISIÓN'!$B71,8))</f>
        <v>0</v>
      </c>
      <c r="K124" s="458">
        <f>IF($B71&gt;AUXILIAR!$A$39,0,INDEX(INDICES!$C$11:$K$313,'CÁLCULO REVISIÓN'!$B71,9))</f>
        <v>0</v>
      </c>
      <c r="L124" s="293">
        <f>IF(AUXILIAR!$D$11=2,IF($B124&gt;AUXILIAR!$A$39,0,$C$19*C124/$D$22+$D$19*H124/$I$22+$E$19*D124/$E$22+$F$19*G124/$H$22+$G$19*K124/$L$22+$H$19*E124/$F$22+$I$19*F124/$G$22+$J$19*J124/$K$22+$K$19*I124/$J$22+$L$19),0)</f>
        <v>0</v>
      </c>
      <c r="M124" s="294">
        <f>INDEX(AUXILIAR!I46:I321,'CÁLCULO REVISIÓN'!$B$27)</f>
        <v>43101</v>
      </c>
      <c r="N124" s="159"/>
      <c r="O124" s="159"/>
      <c r="P124" s="159"/>
      <c r="Q124" s="159"/>
      <c r="R124" s="159"/>
      <c r="S124" s="159"/>
      <c r="T124" s="47"/>
      <c r="U124" s="47"/>
      <c r="V124" s="47"/>
      <c r="W124" s="47"/>
      <c r="X124" s="47"/>
      <c r="Y124" s="47"/>
      <c r="Z124" s="47"/>
    </row>
    <row r="125" spans="1:26" s="4" customFormat="1" ht="12.75">
      <c r="A125" s="292">
        <f t="shared" si="4"/>
        <v>47</v>
      </c>
      <c r="B125" s="300">
        <f t="shared" si="5"/>
        <v>266</v>
      </c>
      <c r="C125" s="458">
        <f>IF($B72&gt;AUXILIAR!$A$39,0,INDEX(INDICES!$C$11:$K$313,'CÁLCULO REVISIÓN'!$B72,1))</f>
        <v>0</v>
      </c>
      <c r="D125" s="458">
        <f>IF($B72&gt;AUXILIAR!$A$39,0,INDEX(INDICES!$C$11:$K$313,'CÁLCULO REVISIÓN'!$B72,2))</f>
        <v>0</v>
      </c>
      <c r="E125" s="458">
        <f>IF($B72&gt;AUXILIAR!$A$39,0,INDEX(INDICES!$C$11:$K$313,'CÁLCULO REVISIÓN'!$B72,3))</f>
        <v>0</v>
      </c>
      <c r="F125" s="458">
        <f>IF($B72&gt;AUXILIAR!$A$39,0,INDEX(INDICES!$C$11:$K$313,'CÁLCULO REVISIÓN'!$B72,4))</f>
        <v>0</v>
      </c>
      <c r="G125" s="458">
        <f>IF($B72&gt;AUXILIAR!$A$39,0,INDEX(INDICES!$C$11:$K$313,'CÁLCULO REVISIÓN'!$B72,5))</f>
        <v>0</v>
      </c>
      <c r="H125" s="458">
        <f>IF($B72&gt;AUXILIAR!$A$39,0,INDEX(INDICES!$C$11:$K$313,'CÁLCULO REVISIÓN'!$B72,6))</f>
        <v>0</v>
      </c>
      <c r="I125" s="458">
        <f>IF($B72&gt;AUXILIAR!$A$39,0,INDEX(INDICES!$C$11:$K$313,'CÁLCULO REVISIÓN'!$B72,7))</f>
        <v>0</v>
      </c>
      <c r="J125" s="458">
        <f>IF($B72&gt;AUXILIAR!$A$39,0,INDEX(INDICES!$C$11:$K$313,'CÁLCULO REVISIÓN'!$B72,8))</f>
        <v>0</v>
      </c>
      <c r="K125" s="458">
        <f>IF($B72&gt;AUXILIAR!$A$39,0,INDEX(INDICES!$C$11:$K$313,'CÁLCULO REVISIÓN'!$B72,9))</f>
        <v>0</v>
      </c>
      <c r="L125" s="293">
        <f>IF(AUXILIAR!$D$11=2,IF($B125&gt;AUXILIAR!$A$39,0,$C$19*C125/$D$22+$D$19*H125/$I$22+$E$19*D125/$E$22+$F$19*G125/$H$22+$G$19*K125/$L$22+$H$19*E125/$F$22+$I$19*F125/$G$22+$J$19*J125/$K$22+$K$19*I125/$J$22+$L$19),0)</f>
        <v>0</v>
      </c>
      <c r="M125" s="294">
        <f>INDEX(AUXILIAR!I47:I322,'CÁLCULO REVISIÓN'!$B$27)</f>
        <v>43132</v>
      </c>
      <c r="N125" s="159"/>
      <c r="O125" s="159"/>
      <c r="P125" s="159"/>
      <c r="Q125" s="159"/>
      <c r="R125" s="159"/>
      <c r="S125" s="159"/>
      <c r="T125" s="47"/>
      <c r="U125" s="47"/>
      <c r="V125" s="47"/>
      <c r="W125" s="47"/>
      <c r="X125" s="47"/>
      <c r="Y125" s="47"/>
      <c r="Z125" s="47"/>
    </row>
    <row r="126" spans="1:26" s="4" customFormat="1" ht="12.75">
      <c r="A126" s="292">
        <f t="shared" si="4"/>
        <v>48</v>
      </c>
      <c r="B126" s="300">
        <f t="shared" si="5"/>
        <v>267</v>
      </c>
      <c r="C126" s="458">
        <f>IF($B73&gt;AUXILIAR!$A$39,0,INDEX(INDICES!$C$11:$K$313,'CÁLCULO REVISIÓN'!$B73,1))</f>
        <v>0</v>
      </c>
      <c r="D126" s="458">
        <f>IF($B73&gt;AUXILIAR!$A$39,0,INDEX(INDICES!$C$11:$K$313,'CÁLCULO REVISIÓN'!$B73,2))</f>
        <v>0</v>
      </c>
      <c r="E126" s="458">
        <f>IF($B73&gt;AUXILIAR!$A$39,0,INDEX(INDICES!$C$11:$K$313,'CÁLCULO REVISIÓN'!$B73,3))</f>
        <v>0</v>
      </c>
      <c r="F126" s="458">
        <f>IF($B73&gt;AUXILIAR!$A$39,0,INDEX(INDICES!$C$11:$K$313,'CÁLCULO REVISIÓN'!$B73,4))</f>
        <v>0</v>
      </c>
      <c r="G126" s="458">
        <f>IF($B73&gt;AUXILIAR!$A$39,0,INDEX(INDICES!$C$11:$K$313,'CÁLCULO REVISIÓN'!$B73,5))</f>
        <v>0</v>
      </c>
      <c r="H126" s="458">
        <f>IF($B73&gt;AUXILIAR!$A$39,0,INDEX(INDICES!$C$11:$K$313,'CÁLCULO REVISIÓN'!$B73,6))</f>
        <v>0</v>
      </c>
      <c r="I126" s="458">
        <f>IF($B73&gt;AUXILIAR!$A$39,0,INDEX(INDICES!$C$11:$K$313,'CÁLCULO REVISIÓN'!$B73,7))</f>
        <v>0</v>
      </c>
      <c r="J126" s="458">
        <f>IF($B73&gt;AUXILIAR!$A$39,0,INDEX(INDICES!$C$11:$K$313,'CÁLCULO REVISIÓN'!$B73,8))</f>
        <v>0</v>
      </c>
      <c r="K126" s="458">
        <f>IF($B73&gt;AUXILIAR!$A$39,0,INDEX(INDICES!$C$11:$K$313,'CÁLCULO REVISIÓN'!$B73,9))</f>
        <v>0</v>
      </c>
      <c r="L126" s="293">
        <f>IF(AUXILIAR!$D$11=2,IF($B126&gt;AUXILIAR!$A$39,0,$C$19*C126/$D$22+$D$19*H126/$I$22+$E$19*D126/$E$22+$F$19*G126/$H$22+$G$19*K126/$L$22+$H$19*E126/$F$22+$I$19*F126/$G$22+$J$19*J126/$K$22+$K$19*I126/$J$22+$L$19),0)</f>
        <v>0</v>
      </c>
      <c r="M126" s="294">
        <f>INDEX(AUXILIAR!I48:I323,'CÁLCULO REVISIÓN'!$B$27)</f>
        <v>43160</v>
      </c>
      <c r="N126" s="159"/>
      <c r="O126" s="159"/>
      <c r="P126" s="159"/>
      <c r="Q126" s="159"/>
      <c r="R126" s="159"/>
      <c r="S126" s="159"/>
      <c r="T126" s="47"/>
      <c r="U126" s="47"/>
      <c r="V126" s="47"/>
      <c r="W126" s="47"/>
      <c r="X126" s="47"/>
      <c r="Y126" s="47"/>
      <c r="Z126" s="47"/>
    </row>
    <row r="127" spans="1:26" s="4" customFormat="1" ht="12.75">
      <c r="A127" s="292">
        <f t="shared" si="4"/>
        <v>49</v>
      </c>
      <c r="B127" s="300">
        <f t="shared" si="5"/>
        <v>268</v>
      </c>
      <c r="C127" s="458">
        <f>IF($B74&gt;AUXILIAR!$A$39,0,INDEX(INDICES!$C$11:$K$313,'CÁLCULO REVISIÓN'!$B74,1))</f>
        <v>0</v>
      </c>
      <c r="D127" s="458">
        <f>IF($B74&gt;AUXILIAR!$A$39,0,INDEX(INDICES!$C$11:$K$313,'CÁLCULO REVISIÓN'!$B74,2))</f>
        <v>0</v>
      </c>
      <c r="E127" s="458">
        <f>IF($B74&gt;AUXILIAR!$A$39,0,INDEX(INDICES!$C$11:$K$313,'CÁLCULO REVISIÓN'!$B74,3))</f>
        <v>0</v>
      </c>
      <c r="F127" s="458">
        <f>IF($B74&gt;AUXILIAR!$A$39,0,INDEX(INDICES!$C$11:$K$313,'CÁLCULO REVISIÓN'!$B74,4))</f>
        <v>0</v>
      </c>
      <c r="G127" s="458">
        <f>IF($B74&gt;AUXILIAR!$A$39,0,INDEX(INDICES!$C$11:$K$313,'CÁLCULO REVISIÓN'!$B74,5))</f>
        <v>0</v>
      </c>
      <c r="H127" s="458">
        <f>IF($B74&gt;AUXILIAR!$A$39,0,INDEX(INDICES!$C$11:$K$313,'CÁLCULO REVISIÓN'!$B74,6))</f>
        <v>0</v>
      </c>
      <c r="I127" s="458">
        <f>IF($B74&gt;AUXILIAR!$A$39,0,INDEX(INDICES!$C$11:$K$313,'CÁLCULO REVISIÓN'!$B74,7))</f>
        <v>0</v>
      </c>
      <c r="J127" s="458">
        <f>IF($B74&gt;AUXILIAR!$A$39,0,INDEX(INDICES!$C$11:$K$313,'CÁLCULO REVISIÓN'!$B74,8))</f>
        <v>0</v>
      </c>
      <c r="K127" s="458">
        <f>IF($B74&gt;AUXILIAR!$A$39,0,INDEX(INDICES!$C$11:$K$313,'CÁLCULO REVISIÓN'!$B74,9))</f>
        <v>0</v>
      </c>
      <c r="L127" s="293">
        <f>IF(AUXILIAR!$D$11=2,IF($B127&gt;AUXILIAR!$A$39,0,$C$19*C127/$D$22+$D$19*H127/$I$22+$E$19*D127/$E$22+$F$19*G127/$H$22+$G$19*K127/$L$22+$H$19*E127/$F$22+$I$19*F127/$G$22+$J$19*J127/$K$22+$K$19*I127/$J$22+$L$19),0)</f>
        <v>0</v>
      </c>
      <c r="M127" s="294">
        <f>INDEX(AUXILIAR!I49:I324,'CÁLCULO REVISIÓN'!$B$27)</f>
        <v>43191</v>
      </c>
      <c r="N127" s="159"/>
      <c r="O127" s="159"/>
      <c r="P127" s="159"/>
      <c r="Q127" s="159"/>
      <c r="R127" s="159"/>
      <c r="S127" s="159"/>
      <c r="T127" s="47"/>
      <c r="U127" s="47"/>
      <c r="V127" s="47"/>
      <c r="W127" s="47"/>
      <c r="X127" s="47"/>
      <c r="Y127" s="47"/>
      <c r="Z127" s="47"/>
    </row>
    <row r="128" spans="1:26" s="4" customFormat="1" ht="12.75">
      <c r="A128" s="292">
        <f t="shared" si="4"/>
        <v>50</v>
      </c>
      <c r="B128" s="300">
        <f t="shared" si="5"/>
        <v>269</v>
      </c>
      <c r="C128" s="458">
        <f>IF($B75&gt;AUXILIAR!$A$39,0,INDEX(INDICES!$C$11:$K$313,'CÁLCULO REVISIÓN'!$B75,1))</f>
        <v>0</v>
      </c>
      <c r="D128" s="458">
        <f>IF($B75&gt;AUXILIAR!$A$39,0,INDEX(INDICES!$C$11:$K$313,'CÁLCULO REVISIÓN'!$B75,2))</f>
        <v>0</v>
      </c>
      <c r="E128" s="458">
        <f>IF($B75&gt;AUXILIAR!$A$39,0,INDEX(INDICES!$C$11:$K$313,'CÁLCULO REVISIÓN'!$B75,3))</f>
        <v>0</v>
      </c>
      <c r="F128" s="458">
        <f>IF($B75&gt;AUXILIAR!$A$39,0,INDEX(INDICES!$C$11:$K$313,'CÁLCULO REVISIÓN'!$B75,4))</f>
        <v>0</v>
      </c>
      <c r="G128" s="458">
        <f>IF($B75&gt;AUXILIAR!$A$39,0,INDEX(INDICES!$C$11:$K$313,'CÁLCULO REVISIÓN'!$B75,5))</f>
        <v>0</v>
      </c>
      <c r="H128" s="458">
        <f>IF($B75&gt;AUXILIAR!$A$39,0,INDEX(INDICES!$C$11:$K$313,'CÁLCULO REVISIÓN'!$B75,6))</f>
        <v>0</v>
      </c>
      <c r="I128" s="458">
        <f>IF($B75&gt;AUXILIAR!$A$39,0,INDEX(INDICES!$C$11:$K$313,'CÁLCULO REVISIÓN'!$B75,7))</f>
        <v>0</v>
      </c>
      <c r="J128" s="458">
        <f>IF($B75&gt;AUXILIAR!$A$39,0,INDEX(INDICES!$C$11:$K$313,'CÁLCULO REVISIÓN'!$B75,8))</f>
        <v>0</v>
      </c>
      <c r="K128" s="458">
        <f>IF($B75&gt;AUXILIAR!$A$39,0,INDEX(INDICES!$C$11:$K$313,'CÁLCULO REVISIÓN'!$B75,9))</f>
        <v>0</v>
      </c>
      <c r="L128" s="293">
        <f>IF(AUXILIAR!$D$11=2,IF($B128&gt;AUXILIAR!$A$39,0,$C$19*C128/$D$22+$D$19*H128/$I$22+$E$19*D128/$E$22+$F$19*G128/$H$22+$G$19*K128/$L$22+$H$19*E128/$F$22+$I$19*F128/$G$22+$J$19*J128/$K$22+$K$19*I128/$J$22+$L$19),0)</f>
        <v>0</v>
      </c>
      <c r="M128" s="294">
        <f>INDEX(AUXILIAR!I50:I325,'CÁLCULO REVISIÓN'!$B$27)</f>
        <v>43221</v>
      </c>
      <c r="N128" s="159"/>
      <c r="O128" s="159"/>
      <c r="P128" s="159"/>
      <c r="Q128" s="159"/>
      <c r="R128" s="159"/>
      <c r="S128" s="159"/>
      <c r="T128" s="47"/>
      <c r="U128" s="47"/>
      <c r="V128" s="47"/>
      <c r="W128" s="47"/>
      <c r="X128" s="47"/>
      <c r="Y128" s="47"/>
      <c r="Z128" s="47"/>
    </row>
    <row r="129" spans="1:26" s="4" customFormat="1" ht="12.75">
      <c r="A129" s="292">
        <f t="shared" si="4"/>
        <v>51</v>
      </c>
      <c r="B129" s="300">
        <f t="shared" si="5"/>
        <v>270</v>
      </c>
      <c r="C129" s="458">
        <f>IF($B76&gt;AUXILIAR!$A$39,0,INDEX(INDICES!$C$11:$K$313,'CÁLCULO REVISIÓN'!$B76,1))</f>
        <v>0</v>
      </c>
      <c r="D129" s="458">
        <f>IF($B76&gt;AUXILIAR!$A$39,0,INDEX(INDICES!$C$11:$K$313,'CÁLCULO REVISIÓN'!$B76,2))</f>
        <v>0</v>
      </c>
      <c r="E129" s="458">
        <f>IF($B76&gt;AUXILIAR!$A$39,0,INDEX(INDICES!$C$11:$K$313,'CÁLCULO REVISIÓN'!$B76,3))</f>
        <v>0</v>
      </c>
      <c r="F129" s="458">
        <f>IF($B76&gt;AUXILIAR!$A$39,0,INDEX(INDICES!$C$11:$K$313,'CÁLCULO REVISIÓN'!$B76,4))</f>
        <v>0</v>
      </c>
      <c r="G129" s="458">
        <f>IF($B76&gt;AUXILIAR!$A$39,0,INDEX(INDICES!$C$11:$K$313,'CÁLCULO REVISIÓN'!$B76,5))</f>
        <v>0</v>
      </c>
      <c r="H129" s="458">
        <f>IF($B76&gt;AUXILIAR!$A$39,0,INDEX(INDICES!$C$11:$K$313,'CÁLCULO REVISIÓN'!$B76,6))</f>
        <v>0</v>
      </c>
      <c r="I129" s="458">
        <f>IF($B76&gt;AUXILIAR!$A$39,0,INDEX(INDICES!$C$11:$K$313,'CÁLCULO REVISIÓN'!$B76,7))</f>
        <v>0</v>
      </c>
      <c r="J129" s="458">
        <f>IF($B76&gt;AUXILIAR!$A$39,0,INDEX(INDICES!$C$11:$K$313,'CÁLCULO REVISIÓN'!$B76,8))</f>
        <v>0</v>
      </c>
      <c r="K129" s="458">
        <f>IF($B76&gt;AUXILIAR!$A$39,0,INDEX(INDICES!$C$11:$K$313,'CÁLCULO REVISIÓN'!$B76,9))</f>
        <v>0</v>
      </c>
      <c r="L129" s="293">
        <f>IF(AUXILIAR!$D$11=2,IF($B129&gt;AUXILIAR!$A$39,0,$C$19*C129/$D$22+$D$19*H129/$I$22+$E$19*D129/$E$22+$F$19*G129/$H$22+$G$19*K129/$L$22+$H$19*E129/$F$22+$I$19*F129/$G$22+$J$19*J129/$K$22+$K$19*I129/$J$22+$L$19),0)</f>
        <v>0</v>
      </c>
      <c r="M129" s="294">
        <f>INDEX(AUXILIAR!I51:I326,'CÁLCULO REVISIÓN'!$B$27)</f>
        <v>43252</v>
      </c>
      <c r="N129" s="159"/>
      <c r="O129" s="159"/>
      <c r="P129" s="159"/>
      <c r="Q129" s="159"/>
      <c r="R129" s="159"/>
      <c r="S129" s="159"/>
      <c r="T129" s="47"/>
      <c r="U129" s="47"/>
      <c r="V129" s="47"/>
      <c r="W129" s="47"/>
      <c r="X129" s="47"/>
      <c r="Y129" s="47"/>
      <c r="Z129" s="47"/>
    </row>
    <row r="130" spans="1:26" s="4" customFormat="1" ht="13.5" thickBot="1">
      <c r="A130" s="295"/>
      <c r="B130" s="296"/>
      <c r="C130" s="297"/>
      <c r="D130" s="297"/>
      <c r="E130" s="297"/>
      <c r="F130" s="297"/>
      <c r="G130" s="297"/>
      <c r="H130" s="297"/>
      <c r="I130" s="297"/>
      <c r="J130" s="297"/>
      <c r="K130" s="297"/>
      <c r="L130" s="298"/>
      <c r="M130" s="299"/>
      <c r="N130" s="159"/>
      <c r="O130" s="159"/>
      <c r="P130" s="159"/>
      <c r="Q130" s="159"/>
      <c r="R130" s="159"/>
      <c r="S130" s="159"/>
      <c r="T130" s="47"/>
      <c r="U130" s="47"/>
      <c r="V130" s="47"/>
      <c r="W130" s="47"/>
      <c r="X130" s="47"/>
      <c r="Y130" s="47"/>
      <c r="Z130" s="47"/>
    </row>
    <row r="131" spans="1:26" s="4" customFormat="1" ht="12.75">
      <c r="A131" s="301"/>
      <c r="B131" s="287"/>
      <c r="C131" s="302"/>
      <c r="D131" s="302"/>
      <c r="E131" s="287"/>
      <c r="F131" s="287"/>
      <c r="G131" s="287"/>
      <c r="H131" s="287"/>
      <c r="I131" s="287"/>
      <c r="J131" s="287"/>
      <c r="K131" s="287"/>
      <c r="L131" s="287"/>
      <c r="M131" s="287"/>
      <c r="N131" s="159"/>
      <c r="O131" s="159"/>
      <c r="P131" s="159"/>
      <c r="Q131" s="159"/>
      <c r="R131" s="159"/>
      <c r="S131" s="159"/>
      <c r="T131" s="47"/>
      <c r="U131" s="47"/>
      <c r="V131" s="47"/>
      <c r="W131" s="47"/>
      <c r="X131" s="47"/>
      <c r="Y131" s="47"/>
      <c r="Z131" s="48"/>
    </row>
    <row r="132" spans="1:26" s="4" customFormat="1" ht="15">
      <c r="A132" s="302"/>
      <c r="B132" s="302"/>
      <c r="C132" s="302"/>
      <c r="D132" s="609" t="str">
        <f>CONCATENATE("APLICABLE LA FÓRMULA DE REVISIÓN Nº ",B16)</f>
        <v>APLICABLE LA FÓRMULA DE REVISIÓN Nº 1</v>
      </c>
      <c r="E132" s="609"/>
      <c r="F132" s="609"/>
      <c r="G132" s="609"/>
      <c r="H132" s="609"/>
      <c r="I132" s="609"/>
      <c r="J132" s="609"/>
      <c r="K132" s="302"/>
      <c r="L132" s="302"/>
      <c r="M132" s="302"/>
      <c r="N132" s="159"/>
      <c r="O132" s="159"/>
      <c r="P132" s="159"/>
      <c r="Q132" s="159"/>
      <c r="R132" s="159"/>
      <c r="S132" s="159"/>
      <c r="T132" s="47"/>
      <c r="U132" s="47"/>
      <c r="V132" s="47"/>
      <c r="W132" s="47"/>
      <c r="X132" s="47"/>
      <c r="Y132" s="47"/>
      <c r="Z132" s="47"/>
    </row>
    <row r="133" spans="1:26" s="4" customFormat="1" ht="12.75">
      <c r="A133" s="302"/>
      <c r="B133" s="302"/>
      <c r="C133" s="302"/>
      <c r="D133" s="303" t="s">
        <v>194</v>
      </c>
      <c r="E133" s="303" t="s">
        <v>51</v>
      </c>
      <c r="F133" s="304" t="s">
        <v>52</v>
      </c>
      <c r="G133" s="611" t="s">
        <v>53</v>
      </c>
      <c r="H133" s="611"/>
      <c r="I133" s="611" t="s">
        <v>54</v>
      </c>
      <c r="J133" s="611"/>
      <c r="K133" s="302"/>
      <c r="L133" s="302"/>
      <c r="M133" s="302"/>
      <c r="N133" s="159"/>
      <c r="O133" s="159"/>
      <c r="P133" s="159"/>
      <c r="Q133" s="159"/>
      <c r="R133" s="159"/>
      <c r="S133" s="159"/>
      <c r="T133" s="47"/>
      <c r="U133" s="47"/>
      <c r="V133" s="47"/>
      <c r="W133" s="47"/>
      <c r="X133" s="47"/>
      <c r="Y133" s="47"/>
      <c r="Z133" s="47"/>
    </row>
    <row r="134" spans="1:26" s="4" customFormat="1" ht="12.75">
      <c r="A134" s="302"/>
      <c r="B134" s="302"/>
      <c r="C134" s="302"/>
      <c r="D134" s="305">
        <f aca="true" t="shared" si="6" ref="D134:D165">L27</f>
        <v>0</v>
      </c>
      <c r="E134" s="289">
        <f>AUXILIAR!B18</f>
        <v>2</v>
      </c>
      <c r="F134" s="306">
        <f>IF(E134=0,0,AUXILIAR!B17)</f>
        <v>0</v>
      </c>
      <c r="G134" s="607">
        <f aca="true" t="shared" si="7" ref="G134:G165">L27*F134</f>
        <v>0</v>
      </c>
      <c r="H134" s="607"/>
      <c r="I134" s="607">
        <f aca="true" t="shared" si="8" ref="I134:I165">G134-F134</f>
        <v>0</v>
      </c>
      <c r="J134" s="607"/>
      <c r="K134" s="302"/>
      <c r="L134" s="302"/>
      <c r="M134" s="302"/>
      <c r="N134" s="159"/>
      <c r="O134" s="159"/>
      <c r="P134" s="159"/>
      <c r="Q134" s="159"/>
      <c r="R134" s="159"/>
      <c r="S134" s="159"/>
      <c r="T134" s="47"/>
      <c r="U134" s="47"/>
      <c r="V134" s="47"/>
      <c r="W134" s="47"/>
      <c r="X134" s="47"/>
      <c r="Y134" s="47"/>
      <c r="Z134" s="47"/>
    </row>
    <row r="135" spans="1:19" ht="12.75">
      <c r="A135" s="287"/>
      <c r="B135" s="287"/>
      <c r="C135" s="287"/>
      <c r="D135" s="305">
        <f t="shared" si="6"/>
        <v>0</v>
      </c>
      <c r="E135" s="289">
        <f aca="true" t="shared" si="9" ref="E135:E166">E134+1</f>
        <v>3</v>
      </c>
      <c r="F135" s="306">
        <f>IF($E$134=0,0,IF(E135&gt;50,0,INDEX(CERTIFICACIONES!$C$5:$C$54,'CÁLCULO REVISIÓN'!E135)))</f>
        <v>0</v>
      </c>
      <c r="G135" s="607">
        <f t="shared" si="7"/>
        <v>0</v>
      </c>
      <c r="H135" s="607"/>
      <c r="I135" s="607">
        <f t="shared" si="8"/>
        <v>0</v>
      </c>
      <c r="J135" s="607"/>
      <c r="K135" s="287"/>
      <c r="L135" s="287"/>
      <c r="M135" s="287"/>
      <c r="N135" s="159"/>
      <c r="O135" s="159"/>
      <c r="P135" s="159"/>
      <c r="Q135" s="159"/>
      <c r="R135" s="159"/>
      <c r="S135" s="159"/>
    </row>
    <row r="136" spans="1:19" ht="12.75">
      <c r="A136" s="287"/>
      <c r="B136" s="287"/>
      <c r="C136" s="287"/>
      <c r="D136" s="305">
        <f t="shared" si="6"/>
        <v>0</v>
      </c>
      <c r="E136" s="289">
        <f t="shared" si="9"/>
        <v>4</v>
      </c>
      <c r="F136" s="306">
        <f>IF($E$134=0,0,IF(E136&gt;50,0,INDEX(CERTIFICACIONES!$C$5:$C$54,'CÁLCULO REVISIÓN'!E136)))</f>
        <v>0</v>
      </c>
      <c r="G136" s="607">
        <f t="shared" si="7"/>
        <v>0</v>
      </c>
      <c r="H136" s="607"/>
      <c r="I136" s="607">
        <f t="shared" si="8"/>
        <v>0</v>
      </c>
      <c r="J136" s="607"/>
      <c r="K136" s="287"/>
      <c r="L136" s="287"/>
      <c r="M136" s="287"/>
      <c r="N136" s="159"/>
      <c r="O136" s="159"/>
      <c r="P136" s="159"/>
      <c r="Q136" s="159"/>
      <c r="R136" s="159"/>
      <c r="S136" s="159"/>
    </row>
    <row r="137" spans="1:19" ht="12.75">
      <c r="A137" s="287"/>
      <c r="B137" s="287"/>
      <c r="C137" s="287"/>
      <c r="D137" s="305">
        <f t="shared" si="6"/>
        <v>0</v>
      </c>
      <c r="E137" s="289">
        <f t="shared" si="9"/>
        <v>5</v>
      </c>
      <c r="F137" s="306">
        <f>IF($E$134=0,0,IF(E137&gt;50,0,INDEX(CERTIFICACIONES!$C$5:$C$54,'CÁLCULO REVISIÓN'!E137)))</f>
        <v>0</v>
      </c>
      <c r="G137" s="607">
        <f t="shared" si="7"/>
        <v>0</v>
      </c>
      <c r="H137" s="607"/>
      <c r="I137" s="607">
        <f t="shared" si="8"/>
        <v>0</v>
      </c>
      <c r="J137" s="607"/>
      <c r="K137" s="287"/>
      <c r="L137" s="287"/>
      <c r="M137" s="287"/>
      <c r="N137" s="159"/>
      <c r="O137" s="159"/>
      <c r="P137" s="159"/>
      <c r="Q137" s="159"/>
      <c r="R137" s="159"/>
      <c r="S137" s="159"/>
    </row>
    <row r="138" spans="1:19" ht="12.75">
      <c r="A138" s="287"/>
      <c r="B138" s="287"/>
      <c r="C138" s="287"/>
      <c r="D138" s="305">
        <f t="shared" si="6"/>
        <v>0</v>
      </c>
      <c r="E138" s="289">
        <f t="shared" si="9"/>
        <v>6</v>
      </c>
      <c r="F138" s="306">
        <f>IF($E$134=0,0,IF(E138&gt;50,0,INDEX(CERTIFICACIONES!$C$5:$C$54,'CÁLCULO REVISIÓN'!E138)))</f>
        <v>0</v>
      </c>
      <c r="G138" s="607">
        <f t="shared" si="7"/>
        <v>0</v>
      </c>
      <c r="H138" s="607"/>
      <c r="I138" s="607">
        <f t="shared" si="8"/>
        <v>0</v>
      </c>
      <c r="J138" s="607"/>
      <c r="K138" s="287"/>
      <c r="L138" s="287"/>
      <c r="M138" s="287"/>
      <c r="N138" s="159"/>
      <c r="O138" s="159"/>
      <c r="P138" s="159"/>
      <c r="Q138" s="159"/>
      <c r="R138" s="159"/>
      <c r="S138" s="159"/>
    </row>
    <row r="139" spans="1:19" ht="12.75">
      <c r="A139" s="287"/>
      <c r="B139" s="287"/>
      <c r="C139" s="287"/>
      <c r="D139" s="305">
        <f t="shared" si="6"/>
        <v>0</v>
      </c>
      <c r="E139" s="289">
        <f t="shared" si="9"/>
        <v>7</v>
      </c>
      <c r="F139" s="306">
        <f>IF($E$134=0,0,IF(E139&gt;50,0,INDEX(CERTIFICACIONES!$C$5:$C$54,'CÁLCULO REVISIÓN'!E139)))</f>
        <v>0</v>
      </c>
      <c r="G139" s="607">
        <f t="shared" si="7"/>
        <v>0</v>
      </c>
      <c r="H139" s="607"/>
      <c r="I139" s="607">
        <f t="shared" si="8"/>
        <v>0</v>
      </c>
      <c r="J139" s="607"/>
      <c r="K139" s="287"/>
      <c r="L139" s="287"/>
      <c r="M139" s="287"/>
      <c r="N139" s="159"/>
      <c r="O139" s="159"/>
      <c r="P139" s="159"/>
      <c r="Q139" s="159"/>
      <c r="R139" s="159"/>
      <c r="S139" s="159"/>
    </row>
    <row r="140" spans="1:19" ht="12.75">
      <c r="A140" s="287"/>
      <c r="B140" s="287"/>
      <c r="C140" s="287"/>
      <c r="D140" s="305">
        <f t="shared" si="6"/>
        <v>0</v>
      </c>
      <c r="E140" s="289">
        <f t="shared" si="9"/>
        <v>8</v>
      </c>
      <c r="F140" s="306">
        <f>IF($E$134=0,0,IF(E140&gt;50,0,INDEX(CERTIFICACIONES!$C$5:$C$54,'CÁLCULO REVISIÓN'!E140)))</f>
        <v>0</v>
      </c>
      <c r="G140" s="607">
        <f t="shared" si="7"/>
        <v>0</v>
      </c>
      <c r="H140" s="607"/>
      <c r="I140" s="607">
        <f t="shared" si="8"/>
        <v>0</v>
      </c>
      <c r="J140" s="607"/>
      <c r="K140" s="287"/>
      <c r="L140" s="287"/>
      <c r="M140" s="287"/>
      <c r="N140" s="159"/>
      <c r="O140" s="159"/>
      <c r="P140" s="159"/>
      <c r="Q140" s="159"/>
      <c r="R140" s="159"/>
      <c r="S140" s="159"/>
    </row>
    <row r="141" spans="1:19" ht="12.75">
      <c r="A141" s="287"/>
      <c r="B141" s="287"/>
      <c r="C141" s="287"/>
      <c r="D141" s="305">
        <f t="shared" si="6"/>
        <v>0</v>
      </c>
      <c r="E141" s="289">
        <f t="shared" si="9"/>
        <v>9</v>
      </c>
      <c r="F141" s="306">
        <f>IF($E$134=0,0,IF(E141&gt;50,0,INDEX(CERTIFICACIONES!$C$5:$C$54,'CÁLCULO REVISIÓN'!E141)))</f>
        <v>0</v>
      </c>
      <c r="G141" s="607">
        <f t="shared" si="7"/>
        <v>0</v>
      </c>
      <c r="H141" s="607"/>
      <c r="I141" s="607">
        <f>G141-F141</f>
        <v>0</v>
      </c>
      <c r="J141" s="607"/>
      <c r="K141" s="287"/>
      <c r="L141" s="287"/>
      <c r="M141" s="287"/>
      <c r="N141" s="159"/>
      <c r="O141" s="159"/>
      <c r="P141" s="159"/>
      <c r="Q141" s="159"/>
      <c r="R141" s="159"/>
      <c r="S141" s="159"/>
    </row>
    <row r="142" spans="1:19" ht="12.75">
      <c r="A142" s="287"/>
      <c r="B142" s="287"/>
      <c r="C142" s="287"/>
      <c r="D142" s="305">
        <f t="shared" si="6"/>
        <v>0</v>
      </c>
      <c r="E142" s="289">
        <f t="shared" si="9"/>
        <v>10</v>
      </c>
      <c r="F142" s="306">
        <f>IF($E$134=0,0,IF(E142&gt;50,0,INDEX(CERTIFICACIONES!$C$5:$C$54,'CÁLCULO REVISIÓN'!E142)))</f>
        <v>0</v>
      </c>
      <c r="G142" s="607">
        <f t="shared" si="7"/>
        <v>0</v>
      </c>
      <c r="H142" s="607"/>
      <c r="I142" s="607">
        <f t="shared" si="8"/>
        <v>0</v>
      </c>
      <c r="J142" s="607"/>
      <c r="K142" s="287"/>
      <c r="L142" s="287"/>
      <c r="M142" s="287"/>
      <c r="N142" s="159"/>
      <c r="O142" s="159"/>
      <c r="P142" s="159"/>
      <c r="Q142" s="159"/>
      <c r="R142" s="159"/>
      <c r="S142" s="159"/>
    </row>
    <row r="143" spans="1:19" ht="12.75">
      <c r="A143" s="287"/>
      <c r="B143" s="287"/>
      <c r="C143" s="287"/>
      <c r="D143" s="305">
        <f t="shared" si="6"/>
        <v>0</v>
      </c>
      <c r="E143" s="289">
        <f t="shared" si="9"/>
        <v>11</v>
      </c>
      <c r="F143" s="306">
        <f>IF($E$134=0,0,IF(E143&gt;50,0,INDEX(CERTIFICACIONES!$C$5:$C$54,'CÁLCULO REVISIÓN'!E143)))</f>
        <v>0</v>
      </c>
      <c r="G143" s="607">
        <f t="shared" si="7"/>
        <v>0</v>
      </c>
      <c r="H143" s="607"/>
      <c r="I143" s="607">
        <f t="shared" si="8"/>
        <v>0</v>
      </c>
      <c r="J143" s="607"/>
      <c r="K143" s="287"/>
      <c r="L143" s="287"/>
      <c r="M143" s="287"/>
      <c r="N143" s="159"/>
      <c r="O143" s="159"/>
      <c r="P143" s="159"/>
      <c r="Q143" s="159"/>
      <c r="R143" s="159"/>
      <c r="S143" s="159"/>
    </row>
    <row r="144" spans="1:19" ht="12.75">
      <c r="A144" s="287"/>
      <c r="B144" s="287"/>
      <c r="C144" s="287"/>
      <c r="D144" s="305">
        <f t="shared" si="6"/>
        <v>0</v>
      </c>
      <c r="E144" s="289">
        <f t="shared" si="9"/>
        <v>12</v>
      </c>
      <c r="F144" s="306">
        <f>IF($E$134=0,0,IF(E144&gt;50,0,INDEX(CERTIFICACIONES!$C$5:$C$54,'CÁLCULO REVISIÓN'!E144)))</f>
        <v>0</v>
      </c>
      <c r="G144" s="607">
        <f t="shared" si="7"/>
        <v>0</v>
      </c>
      <c r="H144" s="607"/>
      <c r="I144" s="607">
        <f t="shared" si="8"/>
        <v>0</v>
      </c>
      <c r="J144" s="607"/>
      <c r="K144" s="287"/>
      <c r="L144" s="287"/>
      <c r="M144" s="287"/>
      <c r="N144" s="159"/>
      <c r="O144" s="159"/>
      <c r="P144" s="159"/>
      <c r="Q144" s="159"/>
      <c r="R144" s="159"/>
      <c r="S144" s="159"/>
    </row>
    <row r="145" spans="1:19" ht="12.75">
      <c r="A145" s="287"/>
      <c r="B145" s="287"/>
      <c r="C145" s="287"/>
      <c r="D145" s="305">
        <f t="shared" si="6"/>
        <v>0</v>
      </c>
      <c r="E145" s="289">
        <f t="shared" si="9"/>
        <v>13</v>
      </c>
      <c r="F145" s="306">
        <f>IF($E$134=0,0,IF(E145&gt;50,0,INDEX(CERTIFICACIONES!$C$5:$C$54,'CÁLCULO REVISIÓN'!E145)))</f>
        <v>0</v>
      </c>
      <c r="G145" s="607">
        <f t="shared" si="7"/>
        <v>0</v>
      </c>
      <c r="H145" s="607"/>
      <c r="I145" s="607">
        <f t="shared" si="8"/>
        <v>0</v>
      </c>
      <c r="J145" s="607"/>
      <c r="K145" s="287"/>
      <c r="L145" s="287"/>
      <c r="M145" s="287"/>
      <c r="N145" s="159"/>
      <c r="O145" s="159"/>
      <c r="P145" s="159"/>
      <c r="Q145" s="159"/>
      <c r="R145" s="159"/>
      <c r="S145" s="159"/>
    </row>
    <row r="146" spans="1:19" ht="12.75">
      <c r="A146" s="287"/>
      <c r="B146" s="287"/>
      <c r="C146" s="287"/>
      <c r="D146" s="305">
        <f t="shared" si="6"/>
        <v>0</v>
      </c>
      <c r="E146" s="289">
        <f t="shared" si="9"/>
        <v>14</v>
      </c>
      <c r="F146" s="306">
        <f>IF($E$134=0,0,IF(E146&gt;50,0,INDEX(CERTIFICACIONES!$C$5:$C$54,'CÁLCULO REVISIÓN'!E146)))</f>
        <v>0</v>
      </c>
      <c r="G146" s="607">
        <f t="shared" si="7"/>
        <v>0</v>
      </c>
      <c r="H146" s="607"/>
      <c r="I146" s="607">
        <f t="shared" si="8"/>
        <v>0</v>
      </c>
      <c r="J146" s="607"/>
      <c r="K146" s="287"/>
      <c r="L146" s="287"/>
      <c r="M146" s="287"/>
      <c r="N146" s="159"/>
      <c r="O146" s="159"/>
      <c r="P146" s="159"/>
      <c r="Q146" s="159"/>
      <c r="R146" s="159"/>
      <c r="S146" s="159"/>
    </row>
    <row r="147" spans="1:19" ht="12.75">
      <c r="A147" s="287"/>
      <c r="B147" s="287"/>
      <c r="C147" s="287"/>
      <c r="D147" s="305">
        <f t="shared" si="6"/>
        <v>0</v>
      </c>
      <c r="E147" s="289">
        <f t="shared" si="9"/>
        <v>15</v>
      </c>
      <c r="F147" s="306">
        <f>IF($E$134=0,0,IF(E147&gt;50,0,INDEX(CERTIFICACIONES!$C$5:$C$54,'CÁLCULO REVISIÓN'!E147)))</f>
        <v>0</v>
      </c>
      <c r="G147" s="607">
        <f t="shared" si="7"/>
        <v>0</v>
      </c>
      <c r="H147" s="607"/>
      <c r="I147" s="607">
        <f t="shared" si="8"/>
        <v>0</v>
      </c>
      <c r="J147" s="607"/>
      <c r="K147" s="287"/>
      <c r="L147" s="287"/>
      <c r="M147" s="287"/>
      <c r="N147" s="159"/>
      <c r="O147" s="159"/>
      <c r="P147" s="159"/>
      <c r="Q147" s="159"/>
      <c r="R147" s="159"/>
      <c r="S147" s="159"/>
    </row>
    <row r="148" spans="1:19" ht="12.75">
      <c r="A148" s="287"/>
      <c r="B148" s="287"/>
      <c r="C148" s="287"/>
      <c r="D148" s="305">
        <f t="shared" si="6"/>
        <v>0</v>
      </c>
      <c r="E148" s="289">
        <f t="shared" si="9"/>
        <v>16</v>
      </c>
      <c r="F148" s="306">
        <f>IF($E$134=0,0,IF(E148&gt;50,0,INDEX(CERTIFICACIONES!$C$5:$C$54,'CÁLCULO REVISIÓN'!E148)))</f>
        <v>0</v>
      </c>
      <c r="G148" s="607">
        <f t="shared" si="7"/>
        <v>0</v>
      </c>
      <c r="H148" s="607"/>
      <c r="I148" s="607">
        <f t="shared" si="8"/>
        <v>0</v>
      </c>
      <c r="J148" s="607"/>
      <c r="K148" s="287"/>
      <c r="L148" s="287"/>
      <c r="M148" s="287"/>
      <c r="N148" s="159"/>
      <c r="O148" s="159"/>
      <c r="P148" s="159"/>
      <c r="Q148" s="159"/>
      <c r="R148" s="159"/>
      <c r="S148" s="159"/>
    </row>
    <row r="149" spans="1:19" ht="12.75">
      <c r="A149" s="287"/>
      <c r="B149" s="287"/>
      <c r="C149" s="466"/>
      <c r="D149" s="305">
        <f t="shared" si="6"/>
        <v>0</v>
      </c>
      <c r="E149" s="289">
        <f t="shared" si="9"/>
        <v>17</v>
      </c>
      <c r="F149" s="306">
        <f>IF($E$134=0,0,IF(E149&gt;50,0,INDEX(CERTIFICACIONES!$C$5:$C$54,'CÁLCULO REVISIÓN'!E149)))</f>
        <v>0</v>
      </c>
      <c r="G149" s="607">
        <f t="shared" si="7"/>
        <v>0</v>
      </c>
      <c r="H149" s="607"/>
      <c r="I149" s="607">
        <f t="shared" si="8"/>
        <v>0</v>
      </c>
      <c r="J149" s="607"/>
      <c r="K149" s="287"/>
      <c r="L149" s="287"/>
      <c r="M149" s="287"/>
      <c r="N149" s="159"/>
      <c r="O149" s="159"/>
      <c r="P149" s="159"/>
      <c r="Q149" s="159"/>
      <c r="R149" s="159"/>
      <c r="S149" s="159"/>
    </row>
    <row r="150" spans="1:19" ht="12.75">
      <c r="A150" s="287"/>
      <c r="B150" s="287"/>
      <c r="C150" s="287"/>
      <c r="D150" s="305">
        <f t="shared" si="6"/>
        <v>0</v>
      </c>
      <c r="E150" s="289">
        <f t="shared" si="9"/>
        <v>18</v>
      </c>
      <c r="F150" s="306">
        <f>IF($E$134=0,0,IF(E150&gt;50,0,INDEX(CERTIFICACIONES!$C$5:$C$54,'CÁLCULO REVISIÓN'!E150)))</f>
        <v>0</v>
      </c>
      <c r="G150" s="607">
        <f t="shared" si="7"/>
        <v>0</v>
      </c>
      <c r="H150" s="607"/>
      <c r="I150" s="607">
        <f t="shared" si="8"/>
        <v>0</v>
      </c>
      <c r="J150" s="607"/>
      <c r="K150" s="287"/>
      <c r="L150" s="287"/>
      <c r="M150" s="287"/>
      <c r="N150" s="159"/>
      <c r="O150" s="159"/>
      <c r="P150" s="159"/>
      <c r="Q150" s="159"/>
      <c r="R150" s="159"/>
      <c r="S150" s="159"/>
    </row>
    <row r="151" spans="1:19" ht="12.75">
      <c r="A151" s="287"/>
      <c r="B151" s="287"/>
      <c r="C151" s="287"/>
      <c r="D151" s="305">
        <f t="shared" si="6"/>
        <v>0</v>
      </c>
      <c r="E151" s="289">
        <f t="shared" si="9"/>
        <v>19</v>
      </c>
      <c r="F151" s="306">
        <f>IF($E$134=0,0,IF(E151&gt;50,0,INDEX(CERTIFICACIONES!$C$5:$C$54,'CÁLCULO REVISIÓN'!E151)))</f>
        <v>0</v>
      </c>
      <c r="G151" s="607">
        <f t="shared" si="7"/>
        <v>0</v>
      </c>
      <c r="H151" s="607"/>
      <c r="I151" s="607">
        <f t="shared" si="8"/>
        <v>0</v>
      </c>
      <c r="J151" s="607"/>
      <c r="K151" s="287"/>
      <c r="L151" s="287"/>
      <c r="M151" s="287"/>
      <c r="N151" s="159"/>
      <c r="O151" s="159"/>
      <c r="P151" s="159"/>
      <c r="Q151" s="159"/>
      <c r="R151" s="159"/>
      <c r="S151" s="159"/>
    </row>
    <row r="152" spans="1:19" ht="12.75">
      <c r="A152" s="287"/>
      <c r="B152" s="287"/>
      <c r="C152" s="287"/>
      <c r="D152" s="305">
        <f t="shared" si="6"/>
        <v>0</v>
      </c>
      <c r="E152" s="289">
        <f t="shared" si="9"/>
        <v>20</v>
      </c>
      <c r="F152" s="306">
        <f>IF($E$134=0,0,IF(E152&gt;50,0,INDEX(CERTIFICACIONES!$C$5:$C$54,'CÁLCULO REVISIÓN'!E152)))</f>
        <v>0</v>
      </c>
      <c r="G152" s="607">
        <f t="shared" si="7"/>
        <v>0</v>
      </c>
      <c r="H152" s="607"/>
      <c r="I152" s="607">
        <f t="shared" si="8"/>
        <v>0</v>
      </c>
      <c r="J152" s="607"/>
      <c r="K152" s="287"/>
      <c r="L152" s="287"/>
      <c r="M152" s="287"/>
      <c r="N152" s="159"/>
      <c r="O152" s="159"/>
      <c r="P152" s="159"/>
      <c r="Q152" s="159"/>
      <c r="R152" s="159"/>
      <c r="S152" s="159"/>
    </row>
    <row r="153" spans="1:19" ht="12.75">
      <c r="A153" s="287"/>
      <c r="B153" s="287"/>
      <c r="C153" s="287"/>
      <c r="D153" s="305">
        <f t="shared" si="6"/>
        <v>0</v>
      </c>
      <c r="E153" s="289">
        <f t="shared" si="9"/>
        <v>21</v>
      </c>
      <c r="F153" s="306">
        <f>IF($E$134=0,0,IF(E153&gt;50,0,INDEX(CERTIFICACIONES!$C$5:$C$54,'CÁLCULO REVISIÓN'!E153)))</f>
        <v>0</v>
      </c>
      <c r="G153" s="607">
        <f t="shared" si="7"/>
        <v>0</v>
      </c>
      <c r="H153" s="607"/>
      <c r="I153" s="607">
        <f t="shared" si="8"/>
        <v>0</v>
      </c>
      <c r="J153" s="607"/>
      <c r="K153" s="287"/>
      <c r="L153" s="287"/>
      <c r="M153" s="287"/>
      <c r="N153" s="159"/>
      <c r="O153" s="159"/>
      <c r="P153" s="159"/>
      <c r="Q153" s="159"/>
      <c r="R153" s="159"/>
      <c r="S153" s="159"/>
    </row>
    <row r="154" spans="1:19" ht="12.75">
      <c r="A154" s="287"/>
      <c r="B154" s="287"/>
      <c r="C154" s="287"/>
      <c r="D154" s="305">
        <f t="shared" si="6"/>
        <v>0</v>
      </c>
      <c r="E154" s="289">
        <f t="shared" si="9"/>
        <v>22</v>
      </c>
      <c r="F154" s="306">
        <f>IF($E$134=0,0,IF(E154&gt;50,0,INDEX(CERTIFICACIONES!$C$5:$C$54,'CÁLCULO REVISIÓN'!E154)))</f>
        <v>0</v>
      </c>
      <c r="G154" s="607">
        <f t="shared" si="7"/>
        <v>0</v>
      </c>
      <c r="H154" s="607"/>
      <c r="I154" s="607">
        <f t="shared" si="8"/>
        <v>0</v>
      </c>
      <c r="J154" s="607"/>
      <c r="K154" s="287"/>
      <c r="L154" s="287"/>
      <c r="M154" s="287"/>
      <c r="N154" s="159"/>
      <c r="O154" s="159"/>
      <c r="P154" s="159"/>
      <c r="Q154" s="159"/>
      <c r="R154" s="159"/>
      <c r="S154" s="159"/>
    </row>
    <row r="155" spans="1:19" ht="12.75">
      <c r="A155" s="287"/>
      <c r="B155" s="287"/>
      <c r="C155" s="287"/>
      <c r="D155" s="305">
        <f t="shared" si="6"/>
        <v>0</v>
      </c>
      <c r="E155" s="289">
        <f t="shared" si="9"/>
        <v>23</v>
      </c>
      <c r="F155" s="306">
        <f>IF($E$134=0,0,IF(E155&gt;50,0,INDEX(CERTIFICACIONES!$C$5:$C$54,'CÁLCULO REVISIÓN'!E155)))</f>
        <v>0</v>
      </c>
      <c r="G155" s="607">
        <f t="shared" si="7"/>
        <v>0</v>
      </c>
      <c r="H155" s="607"/>
      <c r="I155" s="607">
        <f t="shared" si="8"/>
        <v>0</v>
      </c>
      <c r="J155" s="607"/>
      <c r="K155" s="287"/>
      <c r="L155" s="287"/>
      <c r="M155" s="287"/>
      <c r="N155" s="159"/>
      <c r="O155" s="159"/>
      <c r="P155" s="159"/>
      <c r="Q155" s="159"/>
      <c r="R155" s="159"/>
      <c r="S155" s="159"/>
    </row>
    <row r="156" spans="1:19" ht="12.75">
      <c r="A156" s="287"/>
      <c r="B156" s="287"/>
      <c r="C156" s="287"/>
      <c r="D156" s="305">
        <f t="shared" si="6"/>
        <v>0</v>
      </c>
      <c r="E156" s="289">
        <f t="shared" si="9"/>
        <v>24</v>
      </c>
      <c r="F156" s="306">
        <f>IF($E$134=0,0,IF(E156&gt;50,0,INDEX(CERTIFICACIONES!$C$5:$C$54,'CÁLCULO REVISIÓN'!E156)))</f>
        <v>0</v>
      </c>
      <c r="G156" s="607">
        <f t="shared" si="7"/>
        <v>0</v>
      </c>
      <c r="H156" s="607"/>
      <c r="I156" s="607">
        <f t="shared" si="8"/>
        <v>0</v>
      </c>
      <c r="J156" s="607"/>
      <c r="K156" s="287"/>
      <c r="L156" s="287"/>
      <c r="M156" s="287"/>
      <c r="N156" s="159"/>
      <c r="O156" s="159"/>
      <c r="P156" s="159"/>
      <c r="Q156" s="159"/>
      <c r="R156" s="159"/>
      <c r="S156" s="159"/>
    </row>
    <row r="157" spans="1:19" ht="12.75">
      <c r="A157" s="287"/>
      <c r="B157" s="287"/>
      <c r="C157" s="287"/>
      <c r="D157" s="305">
        <f t="shared" si="6"/>
        <v>0</v>
      </c>
      <c r="E157" s="289">
        <f t="shared" si="9"/>
        <v>25</v>
      </c>
      <c r="F157" s="306">
        <f>IF($E$134=0,0,IF(E157&gt;50,0,INDEX(CERTIFICACIONES!$C$5:$C$54,'CÁLCULO REVISIÓN'!E157)))</f>
        <v>0</v>
      </c>
      <c r="G157" s="607">
        <f t="shared" si="7"/>
        <v>0</v>
      </c>
      <c r="H157" s="607"/>
      <c r="I157" s="607">
        <f t="shared" si="8"/>
        <v>0</v>
      </c>
      <c r="J157" s="607"/>
      <c r="K157" s="287"/>
      <c r="L157" s="287"/>
      <c r="M157" s="287"/>
      <c r="N157" s="159"/>
      <c r="O157" s="159"/>
      <c r="P157" s="159"/>
      <c r="Q157" s="159"/>
      <c r="R157" s="159"/>
      <c r="S157" s="159"/>
    </row>
    <row r="158" spans="1:19" ht="12.75">
      <c r="A158" s="287"/>
      <c r="B158" s="287"/>
      <c r="C158" s="287"/>
      <c r="D158" s="305">
        <f t="shared" si="6"/>
        <v>0</v>
      </c>
      <c r="E158" s="289">
        <f t="shared" si="9"/>
        <v>26</v>
      </c>
      <c r="F158" s="306">
        <f>IF($E$134=0,0,IF(E158&gt;50,0,INDEX(CERTIFICACIONES!$C$5:$C$54,'CÁLCULO REVISIÓN'!E158)))</f>
        <v>0</v>
      </c>
      <c r="G158" s="607">
        <f t="shared" si="7"/>
        <v>0</v>
      </c>
      <c r="H158" s="607"/>
      <c r="I158" s="607">
        <f t="shared" si="8"/>
        <v>0</v>
      </c>
      <c r="J158" s="607"/>
      <c r="K158" s="287"/>
      <c r="L158" s="287"/>
      <c r="M158" s="287"/>
      <c r="N158" s="159"/>
      <c r="O158" s="159"/>
      <c r="P158" s="159"/>
      <c r="Q158" s="159"/>
      <c r="R158" s="159"/>
      <c r="S158" s="159"/>
    </row>
    <row r="159" spans="1:19" ht="12.75">
      <c r="A159" s="287"/>
      <c r="B159" s="287"/>
      <c r="C159" s="287"/>
      <c r="D159" s="305">
        <f t="shared" si="6"/>
        <v>0</v>
      </c>
      <c r="E159" s="289">
        <f t="shared" si="9"/>
        <v>27</v>
      </c>
      <c r="F159" s="306">
        <f>IF($E$134=0,0,IF(E159&gt;50,0,INDEX(CERTIFICACIONES!$C$5:$C$54,'CÁLCULO REVISIÓN'!E159)))</f>
        <v>0</v>
      </c>
      <c r="G159" s="607">
        <f t="shared" si="7"/>
        <v>0</v>
      </c>
      <c r="H159" s="607"/>
      <c r="I159" s="607">
        <f t="shared" si="8"/>
        <v>0</v>
      </c>
      <c r="J159" s="607"/>
      <c r="K159" s="287"/>
      <c r="L159" s="287"/>
      <c r="M159" s="287"/>
      <c r="N159" s="159"/>
      <c r="O159" s="159"/>
      <c r="P159" s="159"/>
      <c r="Q159" s="159"/>
      <c r="R159" s="159"/>
      <c r="S159" s="159"/>
    </row>
    <row r="160" spans="1:19" ht="12.75">
      <c r="A160" s="287"/>
      <c r="B160" s="287"/>
      <c r="C160" s="287"/>
      <c r="D160" s="305">
        <f t="shared" si="6"/>
        <v>0</v>
      </c>
      <c r="E160" s="289">
        <f t="shared" si="9"/>
        <v>28</v>
      </c>
      <c r="F160" s="306">
        <f>IF($E$134=0,0,IF(E160&gt;50,0,INDEX(CERTIFICACIONES!$C$5:$C$54,'CÁLCULO REVISIÓN'!E160)))</f>
        <v>0</v>
      </c>
      <c r="G160" s="607">
        <f t="shared" si="7"/>
        <v>0</v>
      </c>
      <c r="H160" s="607"/>
      <c r="I160" s="607">
        <f t="shared" si="8"/>
        <v>0</v>
      </c>
      <c r="J160" s="607"/>
      <c r="K160" s="287"/>
      <c r="L160" s="287"/>
      <c r="M160" s="287"/>
      <c r="N160" s="159"/>
      <c r="O160" s="159"/>
      <c r="P160" s="159"/>
      <c r="Q160" s="159"/>
      <c r="R160" s="159"/>
      <c r="S160" s="159"/>
    </row>
    <row r="161" spans="1:19" ht="12.75">
      <c r="A161" s="287"/>
      <c r="B161" s="287"/>
      <c r="C161" s="287"/>
      <c r="D161" s="305">
        <f t="shared" si="6"/>
        <v>0</v>
      </c>
      <c r="E161" s="289">
        <f t="shared" si="9"/>
        <v>29</v>
      </c>
      <c r="F161" s="306">
        <f>IF($E$134=0,0,IF(E161&gt;50,0,INDEX(CERTIFICACIONES!$C$5:$C$54,'CÁLCULO REVISIÓN'!E161)))</f>
        <v>0</v>
      </c>
      <c r="G161" s="607">
        <f t="shared" si="7"/>
        <v>0</v>
      </c>
      <c r="H161" s="607"/>
      <c r="I161" s="607">
        <f t="shared" si="8"/>
        <v>0</v>
      </c>
      <c r="J161" s="607"/>
      <c r="K161" s="287"/>
      <c r="L161" s="287"/>
      <c r="M161" s="287"/>
      <c r="N161" s="159"/>
      <c r="O161" s="159"/>
      <c r="P161" s="159"/>
      <c r="Q161" s="159"/>
      <c r="R161" s="159"/>
      <c r="S161" s="159"/>
    </row>
    <row r="162" spans="1:19" ht="12.75">
      <c r="A162" s="287"/>
      <c r="B162" s="287"/>
      <c r="C162" s="287"/>
      <c r="D162" s="305">
        <f t="shared" si="6"/>
        <v>0</v>
      </c>
      <c r="E162" s="289">
        <f t="shared" si="9"/>
        <v>30</v>
      </c>
      <c r="F162" s="306">
        <f>IF($E$134=0,0,IF(E162&gt;50,0,INDEX(CERTIFICACIONES!$C$5:$C$54,'CÁLCULO REVISIÓN'!E162)))</f>
        <v>0</v>
      </c>
      <c r="G162" s="607">
        <f t="shared" si="7"/>
        <v>0</v>
      </c>
      <c r="H162" s="607"/>
      <c r="I162" s="607">
        <f t="shared" si="8"/>
        <v>0</v>
      </c>
      <c r="J162" s="607"/>
      <c r="K162" s="287"/>
      <c r="L162" s="287"/>
      <c r="M162" s="287"/>
      <c r="N162" s="159"/>
      <c r="O162" s="159"/>
      <c r="P162" s="159"/>
      <c r="Q162" s="159"/>
      <c r="R162" s="159"/>
      <c r="S162" s="159"/>
    </row>
    <row r="163" spans="1:19" ht="12.75">
      <c r="A163" s="287"/>
      <c r="B163" s="287"/>
      <c r="C163" s="287"/>
      <c r="D163" s="305">
        <f t="shared" si="6"/>
        <v>0</v>
      </c>
      <c r="E163" s="289">
        <f t="shared" si="9"/>
        <v>31</v>
      </c>
      <c r="F163" s="306">
        <f>IF($E$134=0,0,IF(E163&gt;50,0,INDEX(CERTIFICACIONES!$C$5:$C$54,'CÁLCULO REVISIÓN'!E163)))</f>
        <v>0</v>
      </c>
      <c r="G163" s="607">
        <f t="shared" si="7"/>
        <v>0</v>
      </c>
      <c r="H163" s="607"/>
      <c r="I163" s="607">
        <f t="shared" si="8"/>
        <v>0</v>
      </c>
      <c r="J163" s="607"/>
      <c r="K163" s="287"/>
      <c r="L163" s="287"/>
      <c r="M163" s="287"/>
      <c r="N163" s="159"/>
      <c r="O163" s="159"/>
      <c r="P163" s="159"/>
      <c r="Q163" s="159"/>
      <c r="R163" s="159"/>
      <c r="S163" s="159"/>
    </row>
    <row r="164" spans="1:19" ht="12.75">
      <c r="A164" s="287"/>
      <c r="B164" s="287"/>
      <c r="C164" s="287"/>
      <c r="D164" s="305">
        <f t="shared" si="6"/>
        <v>0</v>
      </c>
      <c r="E164" s="289">
        <f t="shared" si="9"/>
        <v>32</v>
      </c>
      <c r="F164" s="306">
        <f>IF($E$134=0,0,IF(E164&gt;50,0,INDEX(CERTIFICACIONES!$C$5:$C$54,'CÁLCULO REVISIÓN'!E164)))</f>
        <v>0</v>
      </c>
      <c r="G164" s="607">
        <f t="shared" si="7"/>
        <v>0</v>
      </c>
      <c r="H164" s="607"/>
      <c r="I164" s="607">
        <f t="shared" si="8"/>
        <v>0</v>
      </c>
      <c r="J164" s="607"/>
      <c r="K164" s="287"/>
      <c r="L164" s="287"/>
      <c r="M164" s="287"/>
      <c r="N164" s="159"/>
      <c r="O164" s="159"/>
      <c r="P164" s="159"/>
      <c r="Q164" s="159"/>
      <c r="R164" s="159"/>
      <c r="S164" s="159"/>
    </row>
    <row r="165" spans="1:19" ht="12.75">
      <c r="A165" s="287"/>
      <c r="B165" s="287"/>
      <c r="C165" s="287"/>
      <c r="D165" s="305">
        <f t="shared" si="6"/>
        <v>0</v>
      </c>
      <c r="E165" s="289">
        <f t="shared" si="9"/>
        <v>33</v>
      </c>
      <c r="F165" s="306">
        <f>IF($E$134=0,0,IF(E165&gt;50,0,INDEX(CERTIFICACIONES!$C$5:$C$54,'CÁLCULO REVISIÓN'!E165)))</f>
        <v>0</v>
      </c>
      <c r="G165" s="607">
        <f t="shared" si="7"/>
        <v>0</v>
      </c>
      <c r="H165" s="607"/>
      <c r="I165" s="607">
        <f t="shared" si="8"/>
        <v>0</v>
      </c>
      <c r="J165" s="607"/>
      <c r="K165" s="287"/>
      <c r="L165" s="287"/>
      <c r="M165" s="287"/>
      <c r="N165" s="159"/>
      <c r="O165" s="159"/>
      <c r="P165" s="159"/>
      <c r="Q165" s="159"/>
      <c r="R165" s="159"/>
      <c r="S165" s="159"/>
    </row>
    <row r="166" spans="1:19" ht="12.75">
      <c r="A166" s="287"/>
      <c r="B166" s="287"/>
      <c r="C166" s="287"/>
      <c r="D166" s="305">
        <f aca="true" t="shared" si="10" ref="D166:D183">L59</f>
        <v>0</v>
      </c>
      <c r="E166" s="289">
        <f t="shared" si="9"/>
        <v>34</v>
      </c>
      <c r="F166" s="306">
        <f>IF($E$134=0,0,IF(E166&gt;50,0,INDEX(CERTIFICACIONES!$C$5:$C$54,'CÁLCULO REVISIÓN'!E166)))</f>
        <v>0</v>
      </c>
      <c r="G166" s="607">
        <f aca="true" t="shared" si="11" ref="G166:G183">L59*F166</f>
        <v>0</v>
      </c>
      <c r="H166" s="607"/>
      <c r="I166" s="607">
        <f aca="true" t="shared" si="12" ref="I166:I183">G166-F166</f>
        <v>0</v>
      </c>
      <c r="J166" s="607"/>
      <c r="K166" s="287"/>
      <c r="L166" s="287"/>
      <c r="M166" s="287"/>
      <c r="N166" s="159"/>
      <c r="O166" s="159"/>
      <c r="P166" s="159"/>
      <c r="Q166" s="159"/>
      <c r="R166" s="159"/>
      <c r="S166" s="159"/>
    </row>
    <row r="167" spans="1:19" ht="12.75">
      <c r="A167" s="287"/>
      <c r="B167" s="287"/>
      <c r="C167" s="287"/>
      <c r="D167" s="305">
        <f t="shared" si="10"/>
        <v>0</v>
      </c>
      <c r="E167" s="289">
        <f aca="true" t="shared" si="13" ref="E167:E183">E166+1</f>
        <v>35</v>
      </c>
      <c r="F167" s="306">
        <f>IF($E$134=0,0,IF(E167&gt;50,0,INDEX(CERTIFICACIONES!$C$5:$C$54,'CÁLCULO REVISIÓN'!E167)))</f>
        <v>0</v>
      </c>
      <c r="G167" s="607">
        <f t="shared" si="11"/>
        <v>0</v>
      </c>
      <c r="H167" s="607"/>
      <c r="I167" s="607">
        <f t="shared" si="12"/>
        <v>0</v>
      </c>
      <c r="J167" s="607"/>
      <c r="K167" s="287"/>
      <c r="L167" s="287"/>
      <c r="M167" s="287"/>
      <c r="N167" s="159"/>
      <c r="O167" s="159"/>
      <c r="P167" s="159"/>
      <c r="Q167" s="159"/>
      <c r="R167" s="159"/>
      <c r="S167" s="159"/>
    </row>
    <row r="168" spans="1:19" ht="12.75">
      <c r="A168" s="287"/>
      <c r="B168" s="287"/>
      <c r="C168" s="287"/>
      <c r="D168" s="305">
        <f t="shared" si="10"/>
        <v>0</v>
      </c>
      <c r="E168" s="289">
        <f t="shared" si="13"/>
        <v>36</v>
      </c>
      <c r="F168" s="306">
        <f>IF($E$134=0,0,IF(E168&gt;50,0,INDEX(CERTIFICACIONES!$C$5:$C$54,'CÁLCULO REVISIÓN'!E168)))</f>
        <v>0</v>
      </c>
      <c r="G168" s="607">
        <f t="shared" si="11"/>
        <v>0</v>
      </c>
      <c r="H168" s="607"/>
      <c r="I168" s="607">
        <f t="shared" si="12"/>
        <v>0</v>
      </c>
      <c r="J168" s="607"/>
      <c r="K168" s="287"/>
      <c r="L168" s="287"/>
      <c r="M168" s="287"/>
      <c r="N168" s="159"/>
      <c r="O168" s="159"/>
      <c r="P168" s="159"/>
      <c r="Q168" s="159"/>
      <c r="R168" s="159"/>
      <c r="S168" s="159"/>
    </row>
    <row r="169" spans="1:19" ht="12.75">
      <c r="A169" s="287"/>
      <c r="B169" s="287"/>
      <c r="C169" s="287"/>
      <c r="D169" s="305">
        <f t="shared" si="10"/>
        <v>0</v>
      </c>
      <c r="E169" s="289">
        <f t="shared" si="13"/>
        <v>37</v>
      </c>
      <c r="F169" s="306">
        <f>IF($E$134=0,0,IF(E169&gt;50,0,INDEX(CERTIFICACIONES!$C$5:$C$54,'CÁLCULO REVISIÓN'!E169)))</f>
        <v>0</v>
      </c>
      <c r="G169" s="607">
        <f t="shared" si="11"/>
        <v>0</v>
      </c>
      <c r="H169" s="607"/>
      <c r="I169" s="607">
        <f t="shared" si="12"/>
        <v>0</v>
      </c>
      <c r="J169" s="607"/>
      <c r="K169" s="287"/>
      <c r="L169" s="287"/>
      <c r="M169" s="287"/>
      <c r="N169" s="159"/>
      <c r="O169" s="159"/>
      <c r="P169" s="159"/>
      <c r="Q169" s="159"/>
      <c r="R169" s="159"/>
      <c r="S169" s="159"/>
    </row>
    <row r="170" spans="1:19" ht="12.75">
      <c r="A170" s="287"/>
      <c r="B170" s="287"/>
      <c r="C170" s="287"/>
      <c r="D170" s="305">
        <f t="shared" si="10"/>
        <v>0</v>
      </c>
      <c r="E170" s="289">
        <f t="shared" si="13"/>
        <v>38</v>
      </c>
      <c r="F170" s="306">
        <f>IF($E$134=0,0,IF(E170&gt;50,0,INDEX(CERTIFICACIONES!$C$5:$C$54,'CÁLCULO REVISIÓN'!E170)))</f>
        <v>0</v>
      </c>
      <c r="G170" s="607">
        <f t="shared" si="11"/>
        <v>0</v>
      </c>
      <c r="H170" s="607"/>
      <c r="I170" s="607">
        <f t="shared" si="12"/>
        <v>0</v>
      </c>
      <c r="J170" s="607"/>
      <c r="K170" s="287"/>
      <c r="L170" s="287"/>
      <c r="M170" s="287"/>
      <c r="N170" s="159"/>
      <c r="O170" s="159"/>
      <c r="P170" s="159"/>
      <c r="Q170" s="159"/>
      <c r="R170" s="159"/>
      <c r="S170" s="159"/>
    </row>
    <row r="171" spans="1:19" ht="12.75">
      <c r="A171" s="287"/>
      <c r="B171" s="287"/>
      <c r="C171" s="287"/>
      <c r="D171" s="305">
        <f t="shared" si="10"/>
        <v>0</v>
      </c>
      <c r="E171" s="289">
        <f t="shared" si="13"/>
        <v>39</v>
      </c>
      <c r="F171" s="306">
        <f>IF($E$134=0,0,IF(E171&gt;50,0,INDEX(CERTIFICACIONES!$C$5:$C$54,'CÁLCULO REVISIÓN'!E171)))</f>
        <v>0</v>
      </c>
      <c r="G171" s="607">
        <f t="shared" si="11"/>
        <v>0</v>
      </c>
      <c r="H171" s="607"/>
      <c r="I171" s="607">
        <f t="shared" si="12"/>
        <v>0</v>
      </c>
      <c r="J171" s="607"/>
      <c r="K171" s="287"/>
      <c r="L171" s="287"/>
      <c r="M171" s="287"/>
      <c r="N171" s="159"/>
      <c r="O171" s="159"/>
      <c r="P171" s="159"/>
      <c r="Q171" s="159"/>
      <c r="R171" s="159"/>
      <c r="S171" s="159"/>
    </row>
    <row r="172" spans="1:19" ht="12.75">
      <c r="A172" s="287"/>
      <c r="B172" s="287"/>
      <c r="C172" s="287"/>
      <c r="D172" s="305">
        <f t="shared" si="10"/>
        <v>0</v>
      </c>
      <c r="E172" s="289">
        <f t="shared" si="13"/>
        <v>40</v>
      </c>
      <c r="F172" s="306">
        <f>IF($E$134=0,0,IF(E172&gt;50,0,INDEX(CERTIFICACIONES!$C$5:$C$54,'CÁLCULO REVISIÓN'!E172)))</f>
        <v>0</v>
      </c>
      <c r="G172" s="607">
        <f t="shared" si="11"/>
        <v>0</v>
      </c>
      <c r="H172" s="607"/>
      <c r="I172" s="607">
        <f t="shared" si="12"/>
        <v>0</v>
      </c>
      <c r="J172" s="607"/>
      <c r="K172" s="287"/>
      <c r="L172" s="287"/>
      <c r="M172" s="287"/>
      <c r="N172" s="159"/>
      <c r="O172" s="159"/>
      <c r="P172" s="159"/>
      <c r="Q172" s="159"/>
      <c r="R172" s="159"/>
      <c r="S172" s="159"/>
    </row>
    <row r="173" spans="1:19" ht="12.75">
      <c r="A173" s="287"/>
      <c r="B173" s="287"/>
      <c r="C173" s="287"/>
      <c r="D173" s="305">
        <f t="shared" si="10"/>
        <v>0</v>
      </c>
      <c r="E173" s="289">
        <f t="shared" si="13"/>
        <v>41</v>
      </c>
      <c r="F173" s="306">
        <f>IF($E$134=0,0,IF(E173&gt;50,0,INDEX(CERTIFICACIONES!$C$5:$C$54,'CÁLCULO REVISIÓN'!E173)))</f>
        <v>0</v>
      </c>
      <c r="G173" s="607">
        <f t="shared" si="11"/>
        <v>0</v>
      </c>
      <c r="H173" s="607"/>
      <c r="I173" s="607">
        <f t="shared" si="12"/>
        <v>0</v>
      </c>
      <c r="J173" s="607"/>
      <c r="K173" s="287"/>
      <c r="L173" s="287"/>
      <c r="M173" s="287"/>
      <c r="N173" s="159"/>
      <c r="O173" s="159"/>
      <c r="P173" s="159"/>
      <c r="Q173" s="159"/>
      <c r="R173" s="159"/>
      <c r="S173" s="159"/>
    </row>
    <row r="174" spans="1:19" ht="12.75">
      <c r="A174" s="287"/>
      <c r="B174" s="287"/>
      <c r="C174" s="287"/>
      <c r="D174" s="305">
        <f t="shared" si="10"/>
        <v>0</v>
      </c>
      <c r="E174" s="289">
        <f t="shared" si="13"/>
        <v>42</v>
      </c>
      <c r="F174" s="306">
        <f>IF($E$134=0,0,IF(E174&gt;50,0,INDEX(CERTIFICACIONES!$C$5:$C$54,'CÁLCULO REVISIÓN'!E174)))</f>
        <v>0</v>
      </c>
      <c r="G174" s="607">
        <f t="shared" si="11"/>
        <v>0</v>
      </c>
      <c r="H174" s="607"/>
      <c r="I174" s="607">
        <f t="shared" si="12"/>
        <v>0</v>
      </c>
      <c r="J174" s="607"/>
      <c r="K174" s="287"/>
      <c r="L174" s="287"/>
      <c r="M174" s="287"/>
      <c r="N174" s="159"/>
      <c r="O174" s="159"/>
      <c r="P174" s="159"/>
      <c r="Q174" s="159"/>
      <c r="R174" s="159"/>
      <c r="S174" s="159"/>
    </row>
    <row r="175" spans="1:19" ht="12.75">
      <c r="A175" s="287"/>
      <c r="B175" s="287"/>
      <c r="C175" s="287"/>
      <c r="D175" s="305">
        <f t="shared" si="10"/>
        <v>0</v>
      </c>
      <c r="E175" s="289">
        <f t="shared" si="13"/>
        <v>43</v>
      </c>
      <c r="F175" s="306">
        <f>IF($E$134=0,0,IF(E175&gt;50,0,INDEX(CERTIFICACIONES!$C$5:$C$54,'CÁLCULO REVISIÓN'!E175)))</f>
        <v>0</v>
      </c>
      <c r="G175" s="607">
        <f t="shared" si="11"/>
        <v>0</v>
      </c>
      <c r="H175" s="607"/>
      <c r="I175" s="607">
        <f t="shared" si="12"/>
        <v>0</v>
      </c>
      <c r="J175" s="607"/>
      <c r="K175" s="287"/>
      <c r="L175" s="287"/>
      <c r="M175" s="287"/>
      <c r="N175" s="159"/>
      <c r="O175" s="159"/>
      <c r="P175" s="159"/>
      <c r="Q175" s="159"/>
      <c r="R175" s="159"/>
      <c r="S175" s="159"/>
    </row>
    <row r="176" spans="1:19" ht="12.75">
      <c r="A176" s="287"/>
      <c r="B176" s="287"/>
      <c r="C176" s="287"/>
      <c r="D176" s="305">
        <f t="shared" si="10"/>
        <v>0</v>
      </c>
      <c r="E176" s="289">
        <f t="shared" si="13"/>
        <v>44</v>
      </c>
      <c r="F176" s="306">
        <f>IF($E$134=0,0,IF(E176&gt;50,0,INDEX(CERTIFICACIONES!$C$5:$C$54,'CÁLCULO REVISIÓN'!E176)))</f>
        <v>0</v>
      </c>
      <c r="G176" s="607">
        <f t="shared" si="11"/>
        <v>0</v>
      </c>
      <c r="H176" s="607"/>
      <c r="I176" s="607">
        <f t="shared" si="12"/>
        <v>0</v>
      </c>
      <c r="J176" s="607"/>
      <c r="K176" s="287"/>
      <c r="L176" s="287"/>
      <c r="M176" s="287"/>
      <c r="N176" s="159"/>
      <c r="O176" s="159"/>
      <c r="P176" s="159"/>
      <c r="Q176" s="159"/>
      <c r="R176" s="159"/>
      <c r="S176" s="159"/>
    </row>
    <row r="177" spans="1:19" ht="12.75">
      <c r="A177" s="287"/>
      <c r="B177" s="287"/>
      <c r="C177" s="287"/>
      <c r="D177" s="305">
        <f t="shared" si="10"/>
        <v>0</v>
      </c>
      <c r="E177" s="289">
        <f t="shared" si="13"/>
        <v>45</v>
      </c>
      <c r="F177" s="306">
        <f>IF($E$134=0,0,IF(E177&gt;50,0,INDEX(CERTIFICACIONES!$C$5:$C$54,'CÁLCULO REVISIÓN'!E177)))</f>
        <v>0</v>
      </c>
      <c r="G177" s="607">
        <f t="shared" si="11"/>
        <v>0</v>
      </c>
      <c r="H177" s="607"/>
      <c r="I177" s="607">
        <f t="shared" si="12"/>
        <v>0</v>
      </c>
      <c r="J177" s="607"/>
      <c r="K177" s="287"/>
      <c r="L177" s="287"/>
      <c r="M177" s="287"/>
      <c r="N177" s="159"/>
      <c r="O177" s="159"/>
      <c r="P177" s="159"/>
      <c r="Q177" s="159"/>
      <c r="R177" s="159"/>
      <c r="S177" s="159"/>
    </row>
    <row r="178" spans="1:19" ht="12.75">
      <c r="A178" s="287"/>
      <c r="B178" s="287"/>
      <c r="C178" s="287"/>
      <c r="D178" s="305">
        <f t="shared" si="10"/>
        <v>0</v>
      </c>
      <c r="E178" s="289">
        <f t="shared" si="13"/>
        <v>46</v>
      </c>
      <c r="F178" s="306">
        <f>IF($E$134=0,0,IF(E178&gt;50,0,INDEX(CERTIFICACIONES!$C$5:$C$54,'CÁLCULO REVISIÓN'!E178)))</f>
        <v>0</v>
      </c>
      <c r="G178" s="607">
        <f t="shared" si="11"/>
        <v>0</v>
      </c>
      <c r="H178" s="607"/>
      <c r="I178" s="607">
        <f t="shared" si="12"/>
        <v>0</v>
      </c>
      <c r="J178" s="607"/>
      <c r="K178" s="287"/>
      <c r="L178" s="287"/>
      <c r="M178" s="287"/>
      <c r="N178" s="159"/>
      <c r="O178" s="159"/>
      <c r="P178" s="159"/>
      <c r="Q178" s="159"/>
      <c r="R178" s="159"/>
      <c r="S178" s="159"/>
    </row>
    <row r="179" spans="1:19" ht="12.75">
      <c r="A179" s="287"/>
      <c r="B179" s="287"/>
      <c r="C179" s="287"/>
      <c r="D179" s="305">
        <f t="shared" si="10"/>
        <v>0</v>
      </c>
      <c r="E179" s="289">
        <f t="shared" si="13"/>
        <v>47</v>
      </c>
      <c r="F179" s="306">
        <f>IF($E$134=0,0,IF(E179&gt;50,0,INDEX(CERTIFICACIONES!$C$5:$C$54,'CÁLCULO REVISIÓN'!E179)))</f>
        <v>0</v>
      </c>
      <c r="G179" s="607">
        <f t="shared" si="11"/>
        <v>0</v>
      </c>
      <c r="H179" s="607"/>
      <c r="I179" s="607">
        <f t="shared" si="12"/>
        <v>0</v>
      </c>
      <c r="J179" s="607"/>
      <c r="K179" s="287"/>
      <c r="L179" s="287"/>
      <c r="M179" s="287"/>
      <c r="N179" s="159"/>
      <c r="O179" s="159"/>
      <c r="P179" s="159"/>
      <c r="Q179" s="159"/>
      <c r="R179" s="159"/>
      <c r="S179" s="159"/>
    </row>
    <row r="180" spans="1:19" ht="12.75">
      <c r="A180" s="287"/>
      <c r="B180" s="287"/>
      <c r="C180" s="287"/>
      <c r="D180" s="305">
        <f t="shared" si="10"/>
        <v>0</v>
      </c>
      <c r="E180" s="289">
        <f t="shared" si="13"/>
        <v>48</v>
      </c>
      <c r="F180" s="306">
        <f>IF($E$134=0,0,IF(E180&gt;50,0,INDEX(CERTIFICACIONES!$C$5:$C$54,'CÁLCULO REVISIÓN'!E180)))</f>
        <v>0</v>
      </c>
      <c r="G180" s="607">
        <f t="shared" si="11"/>
        <v>0</v>
      </c>
      <c r="H180" s="607"/>
      <c r="I180" s="607">
        <f t="shared" si="12"/>
        <v>0</v>
      </c>
      <c r="J180" s="607"/>
      <c r="K180" s="287"/>
      <c r="L180" s="287"/>
      <c r="M180" s="287"/>
      <c r="N180" s="159"/>
      <c r="O180" s="159"/>
      <c r="P180" s="159"/>
      <c r="Q180" s="159"/>
      <c r="R180" s="159"/>
      <c r="S180" s="159"/>
    </row>
    <row r="181" spans="1:19" ht="12.75">
      <c r="A181" s="287"/>
      <c r="B181" s="287"/>
      <c r="C181" s="287"/>
      <c r="D181" s="305">
        <f t="shared" si="10"/>
        <v>0</v>
      </c>
      <c r="E181" s="289">
        <f t="shared" si="13"/>
        <v>49</v>
      </c>
      <c r="F181" s="306">
        <f>IF($E$134=0,0,IF(E181&gt;50,0,INDEX(CERTIFICACIONES!$C$5:$C$54,'CÁLCULO REVISIÓN'!E181)))</f>
        <v>0</v>
      </c>
      <c r="G181" s="607">
        <f t="shared" si="11"/>
        <v>0</v>
      </c>
      <c r="H181" s="607"/>
      <c r="I181" s="607">
        <f t="shared" si="12"/>
        <v>0</v>
      </c>
      <c r="J181" s="607"/>
      <c r="K181" s="287"/>
      <c r="L181" s="287"/>
      <c r="M181" s="287"/>
      <c r="N181" s="159"/>
      <c r="O181" s="159"/>
      <c r="P181" s="159"/>
      <c r="Q181" s="159"/>
      <c r="R181" s="159"/>
      <c r="S181" s="159"/>
    </row>
    <row r="182" spans="1:19" ht="12.75">
      <c r="A182" s="287"/>
      <c r="B182" s="287"/>
      <c r="C182" s="287"/>
      <c r="D182" s="305">
        <f t="shared" si="10"/>
        <v>0</v>
      </c>
      <c r="E182" s="289">
        <f t="shared" si="13"/>
        <v>50</v>
      </c>
      <c r="F182" s="306">
        <f>IF($E$134=0,0,IF(E182&gt;50,0,INDEX(CERTIFICACIONES!$C$5:$C$54,'CÁLCULO REVISIÓN'!E182)))</f>
        <v>0</v>
      </c>
      <c r="G182" s="607">
        <f t="shared" si="11"/>
        <v>0</v>
      </c>
      <c r="H182" s="607"/>
      <c r="I182" s="607">
        <f t="shared" si="12"/>
        <v>0</v>
      </c>
      <c r="J182" s="607"/>
      <c r="K182" s="287"/>
      <c r="L182" s="287"/>
      <c r="M182" s="287"/>
      <c r="N182" s="159"/>
      <c r="O182" s="159"/>
      <c r="P182" s="159"/>
      <c r="Q182" s="159"/>
      <c r="R182" s="159"/>
      <c r="S182" s="159"/>
    </row>
    <row r="183" spans="1:19" ht="13.5" customHeight="1">
      <c r="A183" s="287"/>
      <c r="B183" s="287"/>
      <c r="C183" s="287"/>
      <c r="D183" s="305">
        <f t="shared" si="10"/>
        <v>0</v>
      </c>
      <c r="E183" s="289">
        <f t="shared" si="13"/>
        <v>51</v>
      </c>
      <c r="F183" s="306">
        <f>IF($E$134=0,0,IF(E183&gt;50,0,INDEX(CERTIFICACIONES!$C$5:$C$54,'CÁLCULO REVISIÓN'!E183)))</f>
        <v>0</v>
      </c>
      <c r="G183" s="607">
        <f t="shared" si="11"/>
        <v>0</v>
      </c>
      <c r="H183" s="607"/>
      <c r="I183" s="607">
        <f t="shared" si="12"/>
        <v>0</v>
      </c>
      <c r="J183" s="607"/>
      <c r="K183" s="287"/>
      <c r="L183" s="287"/>
      <c r="M183" s="287"/>
      <c r="N183" s="159"/>
      <c r="O183" s="159"/>
      <c r="P183" s="159"/>
      <c r="Q183" s="159"/>
      <c r="R183" s="159"/>
      <c r="S183" s="159"/>
    </row>
    <row r="184" spans="1:19" ht="13.5" customHeight="1">
      <c r="A184" s="287"/>
      <c r="B184" s="287"/>
      <c r="C184" s="287"/>
      <c r="D184" s="287"/>
      <c r="E184" s="287"/>
      <c r="F184" s="287"/>
      <c r="G184" s="287"/>
      <c r="H184" s="287"/>
      <c r="I184" s="287"/>
      <c r="J184" s="287"/>
      <c r="K184" s="287"/>
      <c r="L184" s="301"/>
      <c r="M184" s="301"/>
      <c r="N184" s="159"/>
      <c r="O184" s="159"/>
      <c r="P184" s="159"/>
      <c r="Q184" s="159"/>
      <c r="R184" s="159"/>
      <c r="S184" s="159"/>
    </row>
    <row r="185" spans="1:19" ht="16.5" customHeight="1">
      <c r="A185" s="287"/>
      <c r="B185" s="610" t="s">
        <v>205</v>
      </c>
      <c r="C185" s="610"/>
      <c r="D185" s="610"/>
      <c r="E185" s="610"/>
      <c r="F185" s="608">
        <f>SUM(I134:J183)</f>
        <v>0</v>
      </c>
      <c r="G185" s="608"/>
      <c r="H185" s="287"/>
      <c r="I185" s="287"/>
      <c r="J185" s="287"/>
      <c r="K185" s="287"/>
      <c r="L185" s="301"/>
      <c r="M185" s="301"/>
      <c r="N185" s="159"/>
      <c r="O185" s="159"/>
      <c r="P185" s="159"/>
      <c r="Q185" s="159"/>
      <c r="R185" s="159"/>
      <c r="S185" s="159"/>
    </row>
    <row r="186" spans="1:19" ht="13.5" customHeight="1" thickBot="1">
      <c r="A186" s="307"/>
      <c r="B186" s="307"/>
      <c r="C186" s="307"/>
      <c r="D186" s="307"/>
      <c r="E186" s="307"/>
      <c r="F186" s="307"/>
      <c r="G186" s="307"/>
      <c r="H186" s="307"/>
      <c r="I186" s="307"/>
      <c r="J186" s="307"/>
      <c r="K186" s="307"/>
      <c r="L186" s="308"/>
      <c r="M186" s="308"/>
      <c r="N186" s="159"/>
      <c r="O186" s="159"/>
      <c r="P186" s="159"/>
      <c r="Q186" s="159"/>
      <c r="R186" s="159"/>
      <c r="S186" s="159"/>
    </row>
    <row r="187" spans="1:19" ht="12.75" customHeight="1">
      <c r="A187" s="301"/>
      <c r="B187" s="287"/>
      <c r="C187" s="302"/>
      <c r="D187" s="302"/>
      <c r="E187" s="287"/>
      <c r="F187" s="287"/>
      <c r="G187" s="287"/>
      <c r="H187" s="287"/>
      <c r="I187" s="287"/>
      <c r="J187" s="287"/>
      <c r="K187" s="287"/>
      <c r="L187" s="287"/>
      <c r="M187" s="287"/>
      <c r="N187" s="159"/>
      <c r="O187" s="159"/>
      <c r="P187" s="159"/>
      <c r="Q187" s="159"/>
      <c r="R187" s="159"/>
      <c r="S187" s="159"/>
    </row>
    <row r="188" spans="1:19" ht="12.75" customHeight="1">
      <c r="A188" s="302"/>
      <c r="B188" s="302"/>
      <c r="C188" s="302"/>
      <c r="D188" s="609" t="str">
        <f>IF(AUXILIAR!D11=1,"NO ES APLICABLE PORQUE SOLO HAY UNA FÓRMULA DE REVISIÓN",CONCATENATE("APLICABLE LA FÓRMULA DE REVISIÓN Nº ",B19))</f>
        <v>NO ES APLICABLE PORQUE SOLO HAY UNA FÓRMULA DE REVISIÓN</v>
      </c>
      <c r="E188" s="609"/>
      <c r="F188" s="609"/>
      <c r="G188" s="609"/>
      <c r="H188" s="609"/>
      <c r="I188" s="609"/>
      <c r="J188" s="609"/>
      <c r="K188" s="302"/>
      <c r="L188" s="302"/>
      <c r="M188" s="302"/>
      <c r="N188" s="159"/>
      <c r="O188" s="159"/>
      <c r="P188" s="159"/>
      <c r="Q188" s="159"/>
      <c r="R188" s="159"/>
      <c r="S188" s="159"/>
    </row>
    <row r="189" spans="1:19" ht="12.75" customHeight="1">
      <c r="A189" s="302"/>
      <c r="B189" s="302"/>
      <c r="C189" s="302"/>
      <c r="D189" s="303" t="s">
        <v>195</v>
      </c>
      <c r="E189" s="303" t="s">
        <v>51</v>
      </c>
      <c r="F189" s="304" t="s">
        <v>52</v>
      </c>
      <c r="G189" s="611" t="s">
        <v>53</v>
      </c>
      <c r="H189" s="611"/>
      <c r="I189" s="611" t="s">
        <v>54</v>
      </c>
      <c r="J189" s="611"/>
      <c r="K189" s="302"/>
      <c r="L189" s="302"/>
      <c r="M189" s="302"/>
      <c r="N189" s="159"/>
      <c r="O189" s="159"/>
      <c r="P189" s="159"/>
      <c r="Q189" s="159"/>
      <c r="R189" s="159"/>
      <c r="S189" s="159"/>
    </row>
    <row r="190" spans="1:19" ht="12.75" customHeight="1">
      <c r="A190" s="302"/>
      <c r="B190" s="302"/>
      <c r="C190" s="302"/>
      <c r="D190" s="305">
        <f aca="true" t="shared" si="14" ref="D190:D221">L80</f>
        <v>0</v>
      </c>
      <c r="E190" s="289">
        <f>AUXILIAR!B18</f>
        <v>2</v>
      </c>
      <c r="F190" s="306">
        <f>IF(E190=0,0,AUXILIAR!D17)</f>
        <v>0</v>
      </c>
      <c r="G190" s="607">
        <f aca="true" t="shared" si="15" ref="G190:G221">L80*F190</f>
        <v>0</v>
      </c>
      <c r="H190" s="607"/>
      <c r="I190" s="607">
        <f aca="true" t="shared" si="16" ref="I190:I239">G190-F190</f>
        <v>0</v>
      </c>
      <c r="J190" s="607"/>
      <c r="K190" s="302"/>
      <c r="L190" s="302"/>
      <c r="M190" s="302"/>
      <c r="N190" s="159"/>
      <c r="O190" s="159"/>
      <c r="P190" s="159"/>
      <c r="Q190" s="159"/>
      <c r="R190" s="159"/>
      <c r="S190" s="159"/>
    </row>
    <row r="191" spans="1:19" ht="12.75" customHeight="1">
      <c r="A191" s="287"/>
      <c r="B191" s="287"/>
      <c r="C191" s="287"/>
      <c r="D191" s="305">
        <f t="shared" si="14"/>
        <v>0</v>
      </c>
      <c r="E191" s="289">
        <f aca="true" t="shared" si="17" ref="E191:E239">E190+1</f>
        <v>3</v>
      </c>
      <c r="F191" s="306">
        <f>IF($E$190=0,0,IF(E191&gt;50,0,INDEX(CERTIFICACIONES!$F$5:$F$54,'CÁLCULO REVISIÓN'!E191)))</f>
        <v>0</v>
      </c>
      <c r="G191" s="607">
        <f t="shared" si="15"/>
        <v>0</v>
      </c>
      <c r="H191" s="607"/>
      <c r="I191" s="607">
        <f t="shared" si="16"/>
        <v>0</v>
      </c>
      <c r="J191" s="607"/>
      <c r="K191" s="287"/>
      <c r="L191" s="287"/>
      <c r="M191" s="287"/>
      <c r="N191" s="159"/>
      <c r="O191" s="159"/>
      <c r="P191" s="159"/>
      <c r="Q191" s="159"/>
      <c r="R191" s="159"/>
      <c r="S191" s="159"/>
    </row>
    <row r="192" spans="1:19" ht="12.75" customHeight="1">
      <c r="A192" s="287"/>
      <c r="B192" s="287"/>
      <c r="C192" s="287"/>
      <c r="D192" s="305">
        <f t="shared" si="14"/>
        <v>0</v>
      </c>
      <c r="E192" s="289">
        <f t="shared" si="17"/>
        <v>4</v>
      </c>
      <c r="F192" s="306">
        <f>IF($E$190=0,0,IF(E192&gt;50,0,INDEX(CERTIFICACIONES!$F$5:$F$54,'CÁLCULO REVISIÓN'!E192)))</f>
        <v>0</v>
      </c>
      <c r="G192" s="607">
        <f t="shared" si="15"/>
        <v>0</v>
      </c>
      <c r="H192" s="607"/>
      <c r="I192" s="607">
        <f t="shared" si="16"/>
        <v>0</v>
      </c>
      <c r="J192" s="607"/>
      <c r="K192" s="287"/>
      <c r="L192" s="287"/>
      <c r="M192" s="287"/>
      <c r="N192" s="159"/>
      <c r="O192" s="159"/>
      <c r="P192" s="159"/>
      <c r="Q192" s="159"/>
      <c r="R192" s="159"/>
      <c r="S192" s="159"/>
    </row>
    <row r="193" spans="1:19" ht="12.75" customHeight="1">
      <c r="A193" s="287"/>
      <c r="B193" s="287"/>
      <c r="C193" s="287"/>
      <c r="D193" s="305">
        <f t="shared" si="14"/>
        <v>0</v>
      </c>
      <c r="E193" s="289">
        <f t="shared" si="17"/>
        <v>5</v>
      </c>
      <c r="F193" s="306">
        <f>IF($E$190=0,0,IF(E193&gt;50,0,INDEX(CERTIFICACIONES!$F$5:$F$54,'CÁLCULO REVISIÓN'!E193)))</f>
        <v>0</v>
      </c>
      <c r="G193" s="607">
        <f t="shared" si="15"/>
        <v>0</v>
      </c>
      <c r="H193" s="607"/>
      <c r="I193" s="607">
        <f t="shared" si="16"/>
        <v>0</v>
      </c>
      <c r="J193" s="607"/>
      <c r="K193" s="287"/>
      <c r="L193" s="287"/>
      <c r="M193" s="287"/>
      <c r="N193" s="159"/>
      <c r="O193" s="159"/>
      <c r="P193" s="159"/>
      <c r="Q193" s="159"/>
      <c r="R193" s="159"/>
      <c r="S193" s="159"/>
    </row>
    <row r="194" spans="1:19" ht="12.75" customHeight="1">
      <c r="A194" s="287"/>
      <c r="B194" s="287"/>
      <c r="C194" s="287"/>
      <c r="D194" s="305">
        <f t="shared" si="14"/>
        <v>0</v>
      </c>
      <c r="E194" s="289">
        <f t="shared" si="17"/>
        <v>6</v>
      </c>
      <c r="F194" s="306">
        <f>IF($E$190=0,0,IF(E194&gt;50,0,INDEX(CERTIFICACIONES!$F$5:$F$54,'CÁLCULO REVISIÓN'!E194)))</f>
        <v>0</v>
      </c>
      <c r="G194" s="607">
        <f t="shared" si="15"/>
        <v>0</v>
      </c>
      <c r="H194" s="607"/>
      <c r="I194" s="607">
        <f t="shared" si="16"/>
        <v>0</v>
      </c>
      <c r="J194" s="607"/>
      <c r="K194" s="287"/>
      <c r="L194" s="287"/>
      <c r="M194" s="287"/>
      <c r="N194" s="159"/>
      <c r="O194" s="159"/>
      <c r="P194" s="159"/>
      <c r="Q194" s="159"/>
      <c r="R194" s="159"/>
      <c r="S194" s="159"/>
    </row>
    <row r="195" spans="1:19" ht="12.75" customHeight="1">
      <c r="A195" s="287"/>
      <c r="B195" s="287"/>
      <c r="C195" s="287"/>
      <c r="D195" s="305">
        <f t="shared" si="14"/>
        <v>0</v>
      </c>
      <c r="E195" s="289">
        <f t="shared" si="17"/>
        <v>7</v>
      </c>
      <c r="F195" s="306">
        <f>IF($E$190=0,0,IF(E195&gt;50,0,INDEX(CERTIFICACIONES!$F$5:$F$54,'CÁLCULO REVISIÓN'!E195)))</f>
        <v>0</v>
      </c>
      <c r="G195" s="607">
        <f t="shared" si="15"/>
        <v>0</v>
      </c>
      <c r="H195" s="607"/>
      <c r="I195" s="607">
        <f t="shared" si="16"/>
        <v>0</v>
      </c>
      <c r="J195" s="607"/>
      <c r="K195" s="287"/>
      <c r="L195" s="287"/>
      <c r="M195" s="287"/>
      <c r="N195" s="159"/>
      <c r="O195" s="159"/>
      <c r="P195" s="159"/>
      <c r="Q195" s="159"/>
      <c r="R195" s="159"/>
      <c r="S195" s="159"/>
    </row>
    <row r="196" spans="1:19" ht="12.75" customHeight="1">
      <c r="A196" s="287"/>
      <c r="B196" s="287"/>
      <c r="C196" s="287"/>
      <c r="D196" s="305">
        <f t="shared" si="14"/>
        <v>0</v>
      </c>
      <c r="E196" s="289">
        <f t="shared" si="17"/>
        <v>8</v>
      </c>
      <c r="F196" s="306">
        <f>IF($E$190=0,0,IF(E196&gt;50,0,INDEX(CERTIFICACIONES!$F$5:$F$54,'CÁLCULO REVISIÓN'!E196)))</f>
        <v>0</v>
      </c>
      <c r="G196" s="607">
        <f t="shared" si="15"/>
        <v>0</v>
      </c>
      <c r="H196" s="607"/>
      <c r="I196" s="607">
        <f t="shared" si="16"/>
        <v>0</v>
      </c>
      <c r="J196" s="607"/>
      <c r="K196" s="287"/>
      <c r="L196" s="287"/>
      <c r="M196" s="287"/>
      <c r="N196" s="159"/>
      <c r="O196" s="159"/>
      <c r="P196" s="159"/>
      <c r="Q196" s="159"/>
      <c r="R196" s="159"/>
      <c r="S196" s="159"/>
    </row>
    <row r="197" spans="1:19" ht="12.75" customHeight="1">
      <c r="A197" s="287"/>
      <c r="B197" s="287"/>
      <c r="C197" s="287"/>
      <c r="D197" s="305">
        <f t="shared" si="14"/>
        <v>0</v>
      </c>
      <c r="E197" s="289">
        <f t="shared" si="17"/>
        <v>9</v>
      </c>
      <c r="F197" s="306">
        <f>IF($E$190=0,0,IF(E197&gt;50,0,INDEX(CERTIFICACIONES!$F$5:$F$54,'CÁLCULO REVISIÓN'!E197)))</f>
        <v>0</v>
      </c>
      <c r="G197" s="607">
        <f t="shared" si="15"/>
        <v>0</v>
      </c>
      <c r="H197" s="607"/>
      <c r="I197" s="607">
        <f t="shared" si="16"/>
        <v>0</v>
      </c>
      <c r="J197" s="607"/>
      <c r="K197" s="287"/>
      <c r="L197" s="287"/>
      <c r="M197" s="287"/>
      <c r="N197" s="159"/>
      <c r="O197" s="159"/>
      <c r="P197" s="159"/>
      <c r="Q197" s="159"/>
      <c r="R197" s="159"/>
      <c r="S197" s="159"/>
    </row>
    <row r="198" spans="1:19" ht="12.75" customHeight="1">
      <c r="A198" s="287"/>
      <c r="B198" s="287"/>
      <c r="C198" s="287"/>
      <c r="D198" s="305">
        <f t="shared" si="14"/>
        <v>0</v>
      </c>
      <c r="E198" s="289">
        <f t="shared" si="17"/>
        <v>10</v>
      </c>
      <c r="F198" s="306">
        <f>IF($E$190=0,0,IF(E198&gt;50,0,INDEX(CERTIFICACIONES!$F$5:$F$54,'CÁLCULO REVISIÓN'!E198)))</f>
        <v>0</v>
      </c>
      <c r="G198" s="607">
        <f t="shared" si="15"/>
        <v>0</v>
      </c>
      <c r="H198" s="607"/>
      <c r="I198" s="607">
        <f t="shared" si="16"/>
        <v>0</v>
      </c>
      <c r="J198" s="607"/>
      <c r="K198" s="287"/>
      <c r="L198" s="287"/>
      <c r="M198" s="287"/>
      <c r="N198" s="159"/>
      <c r="O198" s="159"/>
      <c r="P198" s="159"/>
      <c r="Q198" s="159"/>
      <c r="R198" s="159"/>
      <c r="S198" s="159"/>
    </row>
    <row r="199" spans="1:19" ht="12.75" customHeight="1">
      <c r="A199" s="287"/>
      <c r="B199" s="287"/>
      <c r="C199" s="287"/>
      <c r="D199" s="305">
        <f t="shared" si="14"/>
        <v>0</v>
      </c>
      <c r="E199" s="289">
        <f t="shared" si="17"/>
        <v>11</v>
      </c>
      <c r="F199" s="306">
        <f>IF($E$190=0,0,IF(E199&gt;50,0,INDEX(CERTIFICACIONES!$F$5:$F$54,'CÁLCULO REVISIÓN'!E199)))</f>
        <v>0</v>
      </c>
      <c r="G199" s="607">
        <f t="shared" si="15"/>
        <v>0</v>
      </c>
      <c r="H199" s="607"/>
      <c r="I199" s="607">
        <f t="shared" si="16"/>
        <v>0</v>
      </c>
      <c r="J199" s="607"/>
      <c r="K199" s="287"/>
      <c r="L199" s="287"/>
      <c r="M199" s="287"/>
      <c r="N199" s="159"/>
      <c r="O199" s="159"/>
      <c r="P199" s="159"/>
      <c r="Q199" s="159"/>
      <c r="R199" s="159"/>
      <c r="S199" s="159"/>
    </row>
    <row r="200" spans="1:19" ht="12.75" customHeight="1">
      <c r="A200" s="287"/>
      <c r="B200" s="287"/>
      <c r="C200" s="287"/>
      <c r="D200" s="305">
        <f t="shared" si="14"/>
        <v>0</v>
      </c>
      <c r="E200" s="289">
        <f t="shared" si="17"/>
        <v>12</v>
      </c>
      <c r="F200" s="306">
        <f>IF($E$190=0,0,IF(E200&gt;50,0,INDEX(CERTIFICACIONES!$F$5:$F$54,'CÁLCULO REVISIÓN'!E200)))</f>
        <v>0</v>
      </c>
      <c r="G200" s="607">
        <f t="shared" si="15"/>
        <v>0</v>
      </c>
      <c r="H200" s="607"/>
      <c r="I200" s="607">
        <f t="shared" si="16"/>
        <v>0</v>
      </c>
      <c r="J200" s="607"/>
      <c r="K200" s="287"/>
      <c r="L200" s="287"/>
      <c r="M200" s="287"/>
      <c r="N200" s="159"/>
      <c r="O200" s="159"/>
      <c r="P200" s="159"/>
      <c r="Q200" s="159"/>
      <c r="R200" s="159"/>
      <c r="S200" s="159"/>
    </row>
    <row r="201" spans="1:19" ht="12.75" customHeight="1">
      <c r="A201" s="287"/>
      <c r="B201" s="287"/>
      <c r="C201" s="287"/>
      <c r="D201" s="305">
        <f t="shared" si="14"/>
        <v>0</v>
      </c>
      <c r="E201" s="289">
        <f t="shared" si="17"/>
        <v>13</v>
      </c>
      <c r="F201" s="306">
        <f>IF($E$190=0,0,IF(E201&gt;50,0,INDEX(CERTIFICACIONES!$F$5:$F$54,'CÁLCULO REVISIÓN'!E201)))</f>
        <v>0</v>
      </c>
      <c r="G201" s="607">
        <f t="shared" si="15"/>
        <v>0</v>
      </c>
      <c r="H201" s="607"/>
      <c r="I201" s="607">
        <f t="shared" si="16"/>
        <v>0</v>
      </c>
      <c r="J201" s="607"/>
      <c r="K201" s="287"/>
      <c r="L201" s="287"/>
      <c r="M201" s="287"/>
      <c r="N201" s="159"/>
      <c r="O201" s="159"/>
      <c r="P201" s="159"/>
      <c r="Q201" s="159"/>
      <c r="R201" s="159"/>
      <c r="S201" s="159"/>
    </row>
    <row r="202" spans="1:19" ht="12.75" customHeight="1">
      <c r="A202" s="287"/>
      <c r="B202" s="287"/>
      <c r="C202" s="287"/>
      <c r="D202" s="305">
        <f t="shared" si="14"/>
        <v>0</v>
      </c>
      <c r="E202" s="289">
        <f t="shared" si="17"/>
        <v>14</v>
      </c>
      <c r="F202" s="306">
        <f>IF($E$190=0,0,IF(E202&gt;50,0,INDEX(CERTIFICACIONES!$F$5:$F$54,'CÁLCULO REVISIÓN'!E202)))</f>
        <v>0</v>
      </c>
      <c r="G202" s="607">
        <f t="shared" si="15"/>
        <v>0</v>
      </c>
      <c r="H202" s="607"/>
      <c r="I202" s="607">
        <f t="shared" si="16"/>
        <v>0</v>
      </c>
      <c r="J202" s="607"/>
      <c r="K202" s="287"/>
      <c r="L202" s="287"/>
      <c r="M202" s="287"/>
      <c r="N202" s="159"/>
      <c r="O202" s="159"/>
      <c r="P202" s="159"/>
      <c r="Q202" s="159"/>
      <c r="R202" s="159"/>
      <c r="S202" s="159"/>
    </row>
    <row r="203" spans="1:19" ht="12.75" customHeight="1">
      <c r="A203" s="287"/>
      <c r="B203" s="287"/>
      <c r="C203" s="287"/>
      <c r="D203" s="305">
        <f t="shared" si="14"/>
        <v>0</v>
      </c>
      <c r="E203" s="289">
        <f t="shared" si="17"/>
        <v>15</v>
      </c>
      <c r="F203" s="306">
        <f>IF($E$190=0,0,IF(E203&gt;50,0,INDEX(CERTIFICACIONES!$F$5:$F$54,'CÁLCULO REVISIÓN'!E203)))</f>
        <v>0</v>
      </c>
      <c r="G203" s="607">
        <f t="shared" si="15"/>
        <v>0</v>
      </c>
      <c r="H203" s="607"/>
      <c r="I203" s="607">
        <f t="shared" si="16"/>
        <v>0</v>
      </c>
      <c r="J203" s="607"/>
      <c r="K203" s="287"/>
      <c r="L203" s="287"/>
      <c r="M203" s="287"/>
      <c r="N203" s="159"/>
      <c r="O203" s="159"/>
      <c r="P203" s="159"/>
      <c r="Q203" s="159"/>
      <c r="R203" s="159"/>
      <c r="S203" s="159"/>
    </row>
    <row r="204" spans="1:19" ht="12.75" customHeight="1">
      <c r="A204" s="287"/>
      <c r="B204" s="287"/>
      <c r="C204" s="287"/>
      <c r="D204" s="305">
        <f t="shared" si="14"/>
        <v>0</v>
      </c>
      <c r="E204" s="289">
        <f t="shared" si="17"/>
        <v>16</v>
      </c>
      <c r="F204" s="306">
        <f>IF($E$190=0,0,IF(E204&gt;50,0,INDEX(CERTIFICACIONES!$F$5:$F$54,'CÁLCULO REVISIÓN'!E204)))</f>
        <v>0</v>
      </c>
      <c r="G204" s="607">
        <f t="shared" si="15"/>
        <v>0</v>
      </c>
      <c r="H204" s="607"/>
      <c r="I204" s="607">
        <f t="shared" si="16"/>
        <v>0</v>
      </c>
      <c r="J204" s="607"/>
      <c r="K204" s="287"/>
      <c r="L204" s="287"/>
      <c r="M204" s="287"/>
      <c r="N204" s="159"/>
      <c r="O204" s="159"/>
      <c r="P204" s="159"/>
      <c r="Q204" s="159"/>
      <c r="R204" s="159"/>
      <c r="S204" s="159"/>
    </row>
    <row r="205" spans="1:19" ht="12.75" customHeight="1">
      <c r="A205" s="287"/>
      <c r="B205" s="287"/>
      <c r="C205" s="287"/>
      <c r="D205" s="305">
        <f t="shared" si="14"/>
        <v>0</v>
      </c>
      <c r="E205" s="289">
        <f t="shared" si="17"/>
        <v>17</v>
      </c>
      <c r="F205" s="306">
        <f>IF($E$190=0,0,IF(E205&gt;50,0,INDEX(CERTIFICACIONES!$F$5:$F$54,'CÁLCULO REVISIÓN'!E205)))</f>
        <v>0</v>
      </c>
      <c r="G205" s="607">
        <f t="shared" si="15"/>
        <v>0</v>
      </c>
      <c r="H205" s="607"/>
      <c r="I205" s="607">
        <f t="shared" si="16"/>
        <v>0</v>
      </c>
      <c r="J205" s="607"/>
      <c r="K205" s="287"/>
      <c r="L205" s="287"/>
      <c r="M205" s="287"/>
      <c r="N205" s="159"/>
      <c r="O205" s="159"/>
      <c r="P205" s="159"/>
      <c r="Q205" s="159"/>
      <c r="R205" s="159"/>
      <c r="S205" s="159"/>
    </row>
    <row r="206" spans="1:19" ht="12.75" customHeight="1">
      <c r="A206" s="287"/>
      <c r="B206" s="287"/>
      <c r="C206" s="287"/>
      <c r="D206" s="305">
        <f t="shared" si="14"/>
        <v>0</v>
      </c>
      <c r="E206" s="289">
        <f t="shared" si="17"/>
        <v>18</v>
      </c>
      <c r="F206" s="306">
        <f>IF($E$190=0,0,IF(E206&gt;50,0,INDEX(CERTIFICACIONES!$F$5:$F$54,'CÁLCULO REVISIÓN'!E206)))</f>
        <v>0</v>
      </c>
      <c r="G206" s="607">
        <f t="shared" si="15"/>
        <v>0</v>
      </c>
      <c r="H206" s="607"/>
      <c r="I206" s="607">
        <f t="shared" si="16"/>
        <v>0</v>
      </c>
      <c r="J206" s="607"/>
      <c r="K206" s="287"/>
      <c r="L206" s="287"/>
      <c r="M206" s="287"/>
      <c r="N206" s="159"/>
      <c r="O206" s="159"/>
      <c r="P206" s="159"/>
      <c r="Q206" s="159"/>
      <c r="R206" s="159"/>
      <c r="S206" s="159"/>
    </row>
    <row r="207" spans="1:19" ht="12.75" customHeight="1">
      <c r="A207" s="287"/>
      <c r="B207" s="287"/>
      <c r="C207" s="287"/>
      <c r="D207" s="305">
        <f t="shared" si="14"/>
        <v>0</v>
      </c>
      <c r="E207" s="289">
        <f t="shared" si="17"/>
        <v>19</v>
      </c>
      <c r="F207" s="306">
        <f>IF($E$190=0,0,IF(E207&gt;50,0,INDEX(CERTIFICACIONES!$F$5:$F$54,'CÁLCULO REVISIÓN'!E207)))</f>
        <v>0</v>
      </c>
      <c r="G207" s="607">
        <f t="shared" si="15"/>
        <v>0</v>
      </c>
      <c r="H207" s="607"/>
      <c r="I207" s="607">
        <f t="shared" si="16"/>
        <v>0</v>
      </c>
      <c r="J207" s="607"/>
      <c r="K207" s="287"/>
      <c r="L207" s="287"/>
      <c r="M207" s="287"/>
      <c r="N207" s="159"/>
      <c r="O207" s="159"/>
      <c r="P207" s="159"/>
      <c r="Q207" s="159"/>
      <c r="R207" s="159"/>
      <c r="S207" s="159"/>
    </row>
    <row r="208" spans="1:19" ht="12.75" customHeight="1">
      <c r="A208" s="287"/>
      <c r="B208" s="287"/>
      <c r="C208" s="287"/>
      <c r="D208" s="305">
        <f t="shared" si="14"/>
        <v>0</v>
      </c>
      <c r="E208" s="289">
        <f t="shared" si="17"/>
        <v>20</v>
      </c>
      <c r="F208" s="306">
        <f>IF($E$190=0,0,IF(E208&gt;50,0,INDEX(CERTIFICACIONES!$F$5:$F$54,'CÁLCULO REVISIÓN'!E208)))</f>
        <v>0</v>
      </c>
      <c r="G208" s="607">
        <f t="shared" si="15"/>
        <v>0</v>
      </c>
      <c r="H208" s="607"/>
      <c r="I208" s="607">
        <f t="shared" si="16"/>
        <v>0</v>
      </c>
      <c r="J208" s="607"/>
      <c r="K208" s="287"/>
      <c r="L208" s="287"/>
      <c r="M208" s="287"/>
      <c r="N208" s="159"/>
      <c r="O208" s="159"/>
      <c r="P208" s="159"/>
      <c r="Q208" s="159"/>
      <c r="R208" s="159"/>
      <c r="S208" s="159"/>
    </row>
    <row r="209" spans="1:19" ht="12.75" customHeight="1">
      <c r="A209" s="287"/>
      <c r="B209" s="287"/>
      <c r="C209" s="287"/>
      <c r="D209" s="305">
        <f t="shared" si="14"/>
        <v>0</v>
      </c>
      <c r="E209" s="289">
        <f t="shared" si="17"/>
        <v>21</v>
      </c>
      <c r="F209" s="306">
        <f>IF($E$190=0,0,IF(E209&gt;50,0,INDEX(CERTIFICACIONES!$F$5:$F$54,'CÁLCULO REVISIÓN'!E209)))</f>
        <v>0</v>
      </c>
      <c r="G209" s="607">
        <f t="shared" si="15"/>
        <v>0</v>
      </c>
      <c r="H209" s="607"/>
      <c r="I209" s="607">
        <f t="shared" si="16"/>
        <v>0</v>
      </c>
      <c r="J209" s="607"/>
      <c r="K209" s="287"/>
      <c r="L209" s="287"/>
      <c r="M209" s="287"/>
      <c r="N209" s="159"/>
      <c r="O209" s="159"/>
      <c r="P209" s="159"/>
      <c r="Q209" s="159"/>
      <c r="R209" s="159"/>
      <c r="S209" s="159"/>
    </row>
    <row r="210" spans="1:19" ht="12.75" customHeight="1">
      <c r="A210" s="287"/>
      <c r="B210" s="287"/>
      <c r="C210" s="287"/>
      <c r="D210" s="305">
        <f t="shared" si="14"/>
        <v>0</v>
      </c>
      <c r="E210" s="289">
        <f t="shared" si="17"/>
        <v>22</v>
      </c>
      <c r="F210" s="306">
        <f>IF($E$190=0,0,IF(E210&gt;50,0,INDEX(CERTIFICACIONES!$F$5:$F$54,'CÁLCULO REVISIÓN'!E210)))</f>
        <v>0</v>
      </c>
      <c r="G210" s="607">
        <f t="shared" si="15"/>
        <v>0</v>
      </c>
      <c r="H210" s="607"/>
      <c r="I210" s="607">
        <f t="shared" si="16"/>
        <v>0</v>
      </c>
      <c r="J210" s="607"/>
      <c r="K210" s="287"/>
      <c r="L210" s="287"/>
      <c r="M210" s="287"/>
      <c r="N210" s="159"/>
      <c r="O210" s="159"/>
      <c r="P210" s="159"/>
      <c r="Q210" s="159"/>
      <c r="R210" s="159"/>
      <c r="S210" s="159"/>
    </row>
    <row r="211" spans="1:19" ht="12.75" customHeight="1">
      <c r="A211" s="287"/>
      <c r="B211" s="287"/>
      <c r="C211" s="287"/>
      <c r="D211" s="305">
        <f t="shared" si="14"/>
        <v>0</v>
      </c>
      <c r="E211" s="289">
        <f t="shared" si="17"/>
        <v>23</v>
      </c>
      <c r="F211" s="306">
        <f>IF($E$190=0,0,IF(E211&gt;50,0,INDEX(CERTIFICACIONES!$F$5:$F$54,'CÁLCULO REVISIÓN'!E211)))</f>
        <v>0</v>
      </c>
      <c r="G211" s="607">
        <f t="shared" si="15"/>
        <v>0</v>
      </c>
      <c r="H211" s="607"/>
      <c r="I211" s="607">
        <f t="shared" si="16"/>
        <v>0</v>
      </c>
      <c r="J211" s="607"/>
      <c r="K211" s="287"/>
      <c r="L211" s="287"/>
      <c r="M211" s="287"/>
      <c r="N211" s="159"/>
      <c r="O211" s="159"/>
      <c r="P211" s="159"/>
      <c r="Q211" s="159"/>
      <c r="R211" s="159"/>
      <c r="S211" s="159"/>
    </row>
    <row r="212" spans="1:19" ht="12.75" customHeight="1">
      <c r="A212" s="287"/>
      <c r="B212" s="287"/>
      <c r="C212" s="287"/>
      <c r="D212" s="305">
        <f t="shared" si="14"/>
        <v>0</v>
      </c>
      <c r="E212" s="289">
        <f t="shared" si="17"/>
        <v>24</v>
      </c>
      <c r="F212" s="306">
        <f>IF($E$190=0,0,IF(E212&gt;50,0,INDEX(CERTIFICACIONES!$F$5:$F$54,'CÁLCULO REVISIÓN'!E212)))</f>
        <v>0</v>
      </c>
      <c r="G212" s="607">
        <f t="shared" si="15"/>
        <v>0</v>
      </c>
      <c r="H212" s="607"/>
      <c r="I212" s="607">
        <f t="shared" si="16"/>
        <v>0</v>
      </c>
      <c r="J212" s="607"/>
      <c r="K212" s="287"/>
      <c r="L212" s="287"/>
      <c r="M212" s="287"/>
      <c r="N212" s="159"/>
      <c r="O212" s="159"/>
      <c r="P212" s="159"/>
      <c r="Q212" s="159"/>
      <c r="R212" s="159"/>
      <c r="S212" s="159"/>
    </row>
    <row r="213" spans="1:19" ht="12.75" customHeight="1">
      <c r="A213" s="287"/>
      <c r="B213" s="287"/>
      <c r="C213" s="287"/>
      <c r="D213" s="305">
        <f t="shared" si="14"/>
        <v>0</v>
      </c>
      <c r="E213" s="289">
        <f t="shared" si="17"/>
        <v>25</v>
      </c>
      <c r="F213" s="306">
        <f>IF($E$190=0,0,IF(E213&gt;50,0,INDEX(CERTIFICACIONES!$F$5:$F$54,'CÁLCULO REVISIÓN'!E213)))</f>
        <v>0</v>
      </c>
      <c r="G213" s="607">
        <f t="shared" si="15"/>
        <v>0</v>
      </c>
      <c r="H213" s="607"/>
      <c r="I213" s="607">
        <f t="shared" si="16"/>
        <v>0</v>
      </c>
      <c r="J213" s="607"/>
      <c r="K213" s="287"/>
      <c r="L213" s="287"/>
      <c r="M213" s="287"/>
      <c r="N213" s="159"/>
      <c r="O213" s="159"/>
      <c r="P213" s="159"/>
      <c r="Q213" s="159"/>
      <c r="R213" s="159"/>
      <c r="S213" s="159"/>
    </row>
    <row r="214" spans="1:19" ht="12.75" customHeight="1">
      <c r="A214" s="287"/>
      <c r="B214" s="287"/>
      <c r="C214" s="287"/>
      <c r="D214" s="305">
        <f t="shared" si="14"/>
        <v>0</v>
      </c>
      <c r="E214" s="289">
        <f t="shared" si="17"/>
        <v>26</v>
      </c>
      <c r="F214" s="306">
        <f>IF($E$190=0,0,IF(E214&gt;50,0,INDEX(CERTIFICACIONES!$F$5:$F$54,'CÁLCULO REVISIÓN'!E214)))</f>
        <v>0</v>
      </c>
      <c r="G214" s="607">
        <f t="shared" si="15"/>
        <v>0</v>
      </c>
      <c r="H214" s="607"/>
      <c r="I214" s="607">
        <f t="shared" si="16"/>
        <v>0</v>
      </c>
      <c r="J214" s="607"/>
      <c r="K214" s="287"/>
      <c r="L214" s="287"/>
      <c r="M214" s="287"/>
      <c r="N214" s="159"/>
      <c r="O214" s="159"/>
      <c r="P214" s="159"/>
      <c r="Q214" s="159"/>
      <c r="R214" s="159"/>
      <c r="S214" s="159"/>
    </row>
    <row r="215" spans="1:19" ht="12.75" customHeight="1">
      <c r="A215" s="287"/>
      <c r="B215" s="287"/>
      <c r="C215" s="287"/>
      <c r="D215" s="305">
        <f t="shared" si="14"/>
        <v>0</v>
      </c>
      <c r="E215" s="289">
        <f t="shared" si="17"/>
        <v>27</v>
      </c>
      <c r="F215" s="306">
        <f>IF($E$190=0,0,IF(E215&gt;50,0,INDEX(CERTIFICACIONES!$F$5:$F$54,'CÁLCULO REVISIÓN'!E215)))</f>
        <v>0</v>
      </c>
      <c r="G215" s="607">
        <f t="shared" si="15"/>
        <v>0</v>
      </c>
      <c r="H215" s="607"/>
      <c r="I215" s="607">
        <f t="shared" si="16"/>
        <v>0</v>
      </c>
      <c r="J215" s="607"/>
      <c r="K215" s="287"/>
      <c r="L215" s="287"/>
      <c r="M215" s="287"/>
      <c r="N215" s="159"/>
      <c r="O215" s="159"/>
      <c r="P215" s="159"/>
      <c r="Q215" s="159"/>
      <c r="R215" s="159"/>
      <c r="S215" s="159"/>
    </row>
    <row r="216" spans="1:19" ht="12.75" customHeight="1">
      <c r="A216" s="287"/>
      <c r="B216" s="287"/>
      <c r="C216" s="287"/>
      <c r="D216" s="305">
        <f t="shared" si="14"/>
        <v>0</v>
      </c>
      <c r="E216" s="289">
        <f t="shared" si="17"/>
        <v>28</v>
      </c>
      <c r="F216" s="306">
        <f>IF($E$190=0,0,IF(E216&gt;50,0,INDEX(CERTIFICACIONES!$F$5:$F$54,'CÁLCULO REVISIÓN'!E216)))</f>
        <v>0</v>
      </c>
      <c r="G216" s="607">
        <f t="shared" si="15"/>
        <v>0</v>
      </c>
      <c r="H216" s="607"/>
      <c r="I216" s="607">
        <f t="shared" si="16"/>
        <v>0</v>
      </c>
      <c r="J216" s="607"/>
      <c r="K216" s="287"/>
      <c r="L216" s="287"/>
      <c r="M216" s="287"/>
      <c r="N216" s="159"/>
      <c r="O216" s="159"/>
      <c r="P216" s="159"/>
      <c r="Q216" s="159"/>
      <c r="R216" s="159"/>
      <c r="S216" s="159"/>
    </row>
    <row r="217" spans="1:19" ht="12.75" customHeight="1">
      <c r="A217" s="287"/>
      <c r="B217" s="287"/>
      <c r="C217" s="287"/>
      <c r="D217" s="305">
        <f t="shared" si="14"/>
        <v>0</v>
      </c>
      <c r="E217" s="289">
        <f t="shared" si="17"/>
        <v>29</v>
      </c>
      <c r="F217" s="306">
        <f>IF($E$190=0,0,IF(E217&gt;50,0,INDEX(CERTIFICACIONES!$F$5:$F$54,'CÁLCULO REVISIÓN'!E217)))</f>
        <v>0</v>
      </c>
      <c r="G217" s="607">
        <f t="shared" si="15"/>
        <v>0</v>
      </c>
      <c r="H217" s="607"/>
      <c r="I217" s="607">
        <f t="shared" si="16"/>
        <v>0</v>
      </c>
      <c r="J217" s="607"/>
      <c r="K217" s="287"/>
      <c r="L217" s="287"/>
      <c r="M217" s="287"/>
      <c r="N217" s="159"/>
      <c r="O217" s="159"/>
      <c r="P217" s="159"/>
      <c r="Q217" s="159"/>
      <c r="R217" s="159"/>
      <c r="S217" s="159"/>
    </row>
    <row r="218" spans="1:19" ht="12.75" customHeight="1">
      <c r="A218" s="287"/>
      <c r="B218" s="287"/>
      <c r="C218" s="287"/>
      <c r="D218" s="305">
        <f t="shared" si="14"/>
        <v>0</v>
      </c>
      <c r="E218" s="289">
        <f t="shared" si="17"/>
        <v>30</v>
      </c>
      <c r="F218" s="306">
        <f>IF($E$190=0,0,IF(E218&gt;50,0,INDEX(CERTIFICACIONES!$F$5:$F$54,'CÁLCULO REVISIÓN'!E218)))</f>
        <v>0</v>
      </c>
      <c r="G218" s="607">
        <f t="shared" si="15"/>
        <v>0</v>
      </c>
      <c r="H218" s="607"/>
      <c r="I218" s="607">
        <f t="shared" si="16"/>
        <v>0</v>
      </c>
      <c r="J218" s="607"/>
      <c r="K218" s="287"/>
      <c r="L218" s="287"/>
      <c r="M218" s="287"/>
      <c r="N218" s="159"/>
      <c r="O218" s="159"/>
      <c r="P218" s="159"/>
      <c r="Q218" s="159"/>
      <c r="R218" s="159"/>
      <c r="S218" s="159"/>
    </row>
    <row r="219" spans="1:19" ht="12.75" customHeight="1">
      <c r="A219" s="287"/>
      <c r="B219" s="287"/>
      <c r="C219" s="287"/>
      <c r="D219" s="305">
        <f t="shared" si="14"/>
        <v>0</v>
      </c>
      <c r="E219" s="289">
        <f t="shared" si="17"/>
        <v>31</v>
      </c>
      <c r="F219" s="306">
        <f>IF($E$190=0,0,IF(E219&gt;50,0,INDEX(CERTIFICACIONES!$F$5:$F$54,'CÁLCULO REVISIÓN'!E219)))</f>
        <v>0</v>
      </c>
      <c r="G219" s="607">
        <f t="shared" si="15"/>
        <v>0</v>
      </c>
      <c r="H219" s="607"/>
      <c r="I219" s="607">
        <f t="shared" si="16"/>
        <v>0</v>
      </c>
      <c r="J219" s="607"/>
      <c r="K219" s="287"/>
      <c r="L219" s="287"/>
      <c r="M219" s="287"/>
      <c r="N219" s="159"/>
      <c r="O219" s="159"/>
      <c r="P219" s="159"/>
      <c r="Q219" s="159"/>
      <c r="R219" s="159"/>
      <c r="S219" s="159"/>
    </row>
    <row r="220" spans="1:19" ht="12.75" customHeight="1">
      <c r="A220" s="287"/>
      <c r="B220" s="287"/>
      <c r="C220" s="287"/>
      <c r="D220" s="305">
        <f t="shared" si="14"/>
        <v>0</v>
      </c>
      <c r="E220" s="289">
        <f t="shared" si="17"/>
        <v>32</v>
      </c>
      <c r="F220" s="306">
        <f>IF($E$190=0,0,IF(E220&gt;50,0,INDEX(CERTIFICACIONES!$F$5:$F$54,'CÁLCULO REVISIÓN'!E220)))</f>
        <v>0</v>
      </c>
      <c r="G220" s="607">
        <f t="shared" si="15"/>
        <v>0</v>
      </c>
      <c r="H220" s="607"/>
      <c r="I220" s="607">
        <f t="shared" si="16"/>
        <v>0</v>
      </c>
      <c r="J220" s="607"/>
      <c r="K220" s="287"/>
      <c r="L220" s="287"/>
      <c r="M220" s="287"/>
      <c r="N220" s="159"/>
      <c r="O220" s="159"/>
      <c r="P220" s="159"/>
      <c r="Q220" s="159"/>
      <c r="R220" s="159"/>
      <c r="S220" s="159"/>
    </row>
    <row r="221" spans="1:19" ht="12.75" customHeight="1">
      <c r="A221" s="287"/>
      <c r="B221" s="287"/>
      <c r="C221" s="287"/>
      <c r="D221" s="305">
        <f t="shared" si="14"/>
        <v>0</v>
      </c>
      <c r="E221" s="289">
        <f t="shared" si="17"/>
        <v>33</v>
      </c>
      <c r="F221" s="306">
        <f>IF($E$190=0,0,IF(E221&gt;50,0,INDEX(CERTIFICACIONES!$F$5:$F$54,'CÁLCULO REVISIÓN'!E221)))</f>
        <v>0</v>
      </c>
      <c r="G221" s="607">
        <f t="shared" si="15"/>
        <v>0</v>
      </c>
      <c r="H221" s="607"/>
      <c r="I221" s="607">
        <f t="shared" si="16"/>
        <v>0</v>
      </c>
      <c r="J221" s="607"/>
      <c r="K221" s="287"/>
      <c r="L221" s="287"/>
      <c r="M221" s="287"/>
      <c r="N221" s="159"/>
      <c r="O221" s="159"/>
      <c r="P221" s="159"/>
      <c r="Q221" s="159"/>
      <c r="R221" s="159"/>
      <c r="S221" s="159"/>
    </row>
    <row r="222" spans="1:19" ht="12.75" customHeight="1">
      <c r="A222" s="287"/>
      <c r="B222" s="287"/>
      <c r="C222" s="287"/>
      <c r="D222" s="305">
        <f aca="true" t="shared" si="18" ref="D222:D239">L112</f>
        <v>0</v>
      </c>
      <c r="E222" s="289">
        <f t="shared" si="17"/>
        <v>34</v>
      </c>
      <c r="F222" s="306">
        <f>IF($E$190=0,0,IF(E222&gt;50,0,INDEX(CERTIFICACIONES!$F$5:$F$54,'CÁLCULO REVISIÓN'!E222)))</f>
        <v>0</v>
      </c>
      <c r="G222" s="607">
        <f aca="true" t="shared" si="19" ref="G222:G239">L112*F222</f>
        <v>0</v>
      </c>
      <c r="H222" s="607"/>
      <c r="I222" s="607">
        <f t="shared" si="16"/>
        <v>0</v>
      </c>
      <c r="J222" s="607"/>
      <c r="K222" s="287"/>
      <c r="L222" s="287"/>
      <c r="M222" s="287"/>
      <c r="N222" s="159"/>
      <c r="O222" s="159"/>
      <c r="P222" s="159"/>
      <c r="Q222" s="159"/>
      <c r="R222" s="159"/>
      <c r="S222" s="159"/>
    </row>
    <row r="223" spans="1:19" ht="12.75" customHeight="1">
      <c r="A223" s="287"/>
      <c r="B223" s="287"/>
      <c r="C223" s="287"/>
      <c r="D223" s="305">
        <f t="shared" si="18"/>
        <v>0</v>
      </c>
      <c r="E223" s="289">
        <f t="shared" si="17"/>
        <v>35</v>
      </c>
      <c r="F223" s="306">
        <f>IF($E$190=0,0,IF(E223&gt;50,0,INDEX(CERTIFICACIONES!$F$5:$F$54,'CÁLCULO REVISIÓN'!E223)))</f>
        <v>0</v>
      </c>
      <c r="G223" s="607">
        <f t="shared" si="19"/>
        <v>0</v>
      </c>
      <c r="H223" s="607"/>
      <c r="I223" s="607">
        <f t="shared" si="16"/>
        <v>0</v>
      </c>
      <c r="J223" s="607"/>
      <c r="K223" s="287"/>
      <c r="L223" s="287"/>
      <c r="M223" s="287"/>
      <c r="N223" s="159"/>
      <c r="O223" s="159"/>
      <c r="P223" s="159"/>
      <c r="Q223" s="159"/>
      <c r="R223" s="159"/>
      <c r="S223" s="159"/>
    </row>
    <row r="224" spans="1:19" ht="12.75" customHeight="1">
      <c r="A224" s="287"/>
      <c r="B224" s="287"/>
      <c r="C224" s="287"/>
      <c r="D224" s="305">
        <f t="shared" si="18"/>
        <v>0</v>
      </c>
      <c r="E224" s="289">
        <f t="shared" si="17"/>
        <v>36</v>
      </c>
      <c r="F224" s="306">
        <f>IF($E$190=0,0,IF(E224&gt;50,0,INDEX(CERTIFICACIONES!$F$5:$F$54,'CÁLCULO REVISIÓN'!E224)))</f>
        <v>0</v>
      </c>
      <c r="G224" s="607">
        <f t="shared" si="19"/>
        <v>0</v>
      </c>
      <c r="H224" s="607"/>
      <c r="I224" s="607">
        <f t="shared" si="16"/>
        <v>0</v>
      </c>
      <c r="J224" s="607"/>
      <c r="K224" s="287"/>
      <c r="L224" s="287"/>
      <c r="M224" s="287"/>
      <c r="N224" s="159"/>
      <c r="O224" s="159"/>
      <c r="P224" s="159"/>
      <c r="Q224" s="159"/>
      <c r="R224" s="159"/>
      <c r="S224" s="159"/>
    </row>
    <row r="225" spans="1:19" ht="12.75" customHeight="1">
      <c r="A225" s="287"/>
      <c r="B225" s="287"/>
      <c r="C225" s="287"/>
      <c r="D225" s="305">
        <f t="shared" si="18"/>
        <v>0</v>
      </c>
      <c r="E225" s="289">
        <f t="shared" si="17"/>
        <v>37</v>
      </c>
      <c r="F225" s="306">
        <f>IF($E$190=0,0,IF(E225&gt;50,0,INDEX(CERTIFICACIONES!$F$5:$F$54,'CÁLCULO REVISIÓN'!E225)))</f>
        <v>0</v>
      </c>
      <c r="G225" s="607">
        <f t="shared" si="19"/>
        <v>0</v>
      </c>
      <c r="H225" s="607"/>
      <c r="I225" s="607">
        <f t="shared" si="16"/>
        <v>0</v>
      </c>
      <c r="J225" s="607"/>
      <c r="K225" s="287"/>
      <c r="L225" s="287"/>
      <c r="M225" s="287"/>
      <c r="N225" s="159"/>
      <c r="O225" s="159"/>
      <c r="P225" s="159"/>
      <c r="Q225" s="159"/>
      <c r="R225" s="159"/>
      <c r="S225" s="159"/>
    </row>
    <row r="226" spans="1:19" ht="12.75" customHeight="1">
      <c r="A226" s="287"/>
      <c r="B226" s="287"/>
      <c r="C226" s="287"/>
      <c r="D226" s="305">
        <f t="shared" si="18"/>
        <v>0</v>
      </c>
      <c r="E226" s="289">
        <f t="shared" si="17"/>
        <v>38</v>
      </c>
      <c r="F226" s="306">
        <f>IF($E$190=0,0,IF(E226&gt;50,0,INDEX(CERTIFICACIONES!$F$5:$F$54,'CÁLCULO REVISIÓN'!E226)))</f>
        <v>0</v>
      </c>
      <c r="G226" s="607">
        <f t="shared" si="19"/>
        <v>0</v>
      </c>
      <c r="H226" s="607"/>
      <c r="I226" s="607">
        <f t="shared" si="16"/>
        <v>0</v>
      </c>
      <c r="J226" s="607"/>
      <c r="K226" s="287"/>
      <c r="L226" s="287"/>
      <c r="M226" s="287"/>
      <c r="N226" s="159"/>
      <c r="O226" s="159"/>
      <c r="P226" s="159"/>
      <c r="Q226" s="159"/>
      <c r="R226" s="159"/>
      <c r="S226" s="159"/>
    </row>
    <row r="227" spans="1:19" ht="12.75" customHeight="1">
      <c r="A227" s="287"/>
      <c r="B227" s="287"/>
      <c r="C227" s="287"/>
      <c r="D227" s="305">
        <f t="shared" si="18"/>
        <v>0</v>
      </c>
      <c r="E227" s="289">
        <f t="shared" si="17"/>
        <v>39</v>
      </c>
      <c r="F227" s="306">
        <f>IF($E$190=0,0,IF(E227&gt;50,0,INDEX(CERTIFICACIONES!$F$5:$F$54,'CÁLCULO REVISIÓN'!E227)))</f>
        <v>0</v>
      </c>
      <c r="G227" s="607">
        <f t="shared" si="19"/>
        <v>0</v>
      </c>
      <c r="H227" s="607"/>
      <c r="I227" s="607">
        <f t="shared" si="16"/>
        <v>0</v>
      </c>
      <c r="J227" s="607"/>
      <c r="K227" s="287"/>
      <c r="L227" s="287"/>
      <c r="M227" s="287"/>
      <c r="N227" s="159"/>
      <c r="O227" s="159"/>
      <c r="P227" s="159"/>
      <c r="Q227" s="159"/>
      <c r="R227" s="159"/>
      <c r="S227" s="159"/>
    </row>
    <row r="228" spans="1:19" ht="12.75" customHeight="1">
      <c r="A228" s="287"/>
      <c r="B228" s="287"/>
      <c r="C228" s="287"/>
      <c r="D228" s="305">
        <f t="shared" si="18"/>
        <v>0</v>
      </c>
      <c r="E228" s="289">
        <f t="shared" si="17"/>
        <v>40</v>
      </c>
      <c r="F228" s="306">
        <f>IF($E$190=0,0,IF(E228&gt;50,0,INDEX(CERTIFICACIONES!$F$5:$F$54,'CÁLCULO REVISIÓN'!E228)))</f>
        <v>0</v>
      </c>
      <c r="G228" s="607">
        <f t="shared" si="19"/>
        <v>0</v>
      </c>
      <c r="H228" s="607"/>
      <c r="I228" s="607">
        <f t="shared" si="16"/>
        <v>0</v>
      </c>
      <c r="J228" s="607"/>
      <c r="K228" s="287"/>
      <c r="L228" s="287"/>
      <c r="M228" s="287"/>
      <c r="N228" s="159"/>
      <c r="O228" s="159"/>
      <c r="P228" s="159"/>
      <c r="Q228" s="159"/>
      <c r="R228" s="159"/>
      <c r="S228" s="159"/>
    </row>
    <row r="229" spans="1:19" ht="12.75" customHeight="1">
      <c r="A229" s="287"/>
      <c r="B229" s="287"/>
      <c r="C229" s="287"/>
      <c r="D229" s="305">
        <f t="shared" si="18"/>
        <v>0</v>
      </c>
      <c r="E229" s="289">
        <f t="shared" si="17"/>
        <v>41</v>
      </c>
      <c r="F229" s="306">
        <f>IF($E$190=0,0,IF(E229&gt;50,0,INDEX(CERTIFICACIONES!$F$5:$F$54,'CÁLCULO REVISIÓN'!E229)))</f>
        <v>0</v>
      </c>
      <c r="G229" s="607">
        <f t="shared" si="19"/>
        <v>0</v>
      </c>
      <c r="H229" s="607"/>
      <c r="I229" s="607">
        <f t="shared" si="16"/>
        <v>0</v>
      </c>
      <c r="J229" s="607"/>
      <c r="K229" s="287"/>
      <c r="L229" s="287"/>
      <c r="M229" s="287"/>
      <c r="N229" s="159"/>
      <c r="O229" s="159"/>
      <c r="P229" s="159"/>
      <c r="Q229" s="159"/>
      <c r="R229" s="159"/>
      <c r="S229" s="159"/>
    </row>
    <row r="230" spans="1:19" ht="12.75" customHeight="1">
      <c r="A230" s="287"/>
      <c r="B230" s="287"/>
      <c r="C230" s="287"/>
      <c r="D230" s="305">
        <f t="shared" si="18"/>
        <v>0</v>
      </c>
      <c r="E230" s="289">
        <f t="shared" si="17"/>
        <v>42</v>
      </c>
      <c r="F230" s="306">
        <f>IF($E$190=0,0,IF(E230&gt;50,0,INDEX(CERTIFICACIONES!$F$5:$F$54,'CÁLCULO REVISIÓN'!E230)))</f>
        <v>0</v>
      </c>
      <c r="G230" s="607">
        <f t="shared" si="19"/>
        <v>0</v>
      </c>
      <c r="H230" s="607"/>
      <c r="I230" s="607">
        <f t="shared" si="16"/>
        <v>0</v>
      </c>
      <c r="J230" s="607"/>
      <c r="K230" s="287"/>
      <c r="L230" s="287"/>
      <c r="M230" s="287"/>
      <c r="N230" s="159"/>
      <c r="O230" s="159"/>
      <c r="P230" s="159"/>
      <c r="Q230" s="159"/>
      <c r="R230" s="159"/>
      <c r="S230" s="159"/>
    </row>
    <row r="231" spans="1:19" ht="12.75" customHeight="1">
      <c r="A231" s="287"/>
      <c r="B231" s="287"/>
      <c r="C231" s="287"/>
      <c r="D231" s="305">
        <f t="shared" si="18"/>
        <v>0</v>
      </c>
      <c r="E231" s="289">
        <f t="shared" si="17"/>
        <v>43</v>
      </c>
      <c r="F231" s="306">
        <f>IF($E$190=0,0,IF(E231&gt;50,0,INDEX(CERTIFICACIONES!$F$5:$F$54,'CÁLCULO REVISIÓN'!E231)))</f>
        <v>0</v>
      </c>
      <c r="G231" s="607">
        <f t="shared" si="19"/>
        <v>0</v>
      </c>
      <c r="H231" s="607"/>
      <c r="I231" s="607">
        <f t="shared" si="16"/>
        <v>0</v>
      </c>
      <c r="J231" s="607"/>
      <c r="K231" s="287"/>
      <c r="L231" s="287"/>
      <c r="M231" s="287"/>
      <c r="N231" s="159"/>
      <c r="O231" s="159"/>
      <c r="P231" s="159"/>
      <c r="Q231" s="159"/>
      <c r="R231" s="159"/>
      <c r="S231" s="159"/>
    </row>
    <row r="232" spans="1:19" ht="12.75" customHeight="1">
      <c r="A232" s="287"/>
      <c r="B232" s="287"/>
      <c r="C232" s="287"/>
      <c r="D232" s="305">
        <f t="shared" si="18"/>
        <v>0</v>
      </c>
      <c r="E232" s="289">
        <f t="shared" si="17"/>
        <v>44</v>
      </c>
      <c r="F232" s="306">
        <f>IF($E$190=0,0,IF(E232&gt;50,0,INDEX(CERTIFICACIONES!$F$5:$F$54,'CÁLCULO REVISIÓN'!E232)))</f>
        <v>0</v>
      </c>
      <c r="G232" s="607">
        <f t="shared" si="19"/>
        <v>0</v>
      </c>
      <c r="H232" s="607"/>
      <c r="I232" s="607">
        <f t="shared" si="16"/>
        <v>0</v>
      </c>
      <c r="J232" s="607"/>
      <c r="K232" s="287"/>
      <c r="L232" s="287"/>
      <c r="M232" s="287"/>
      <c r="N232" s="159"/>
      <c r="O232" s="159"/>
      <c r="P232" s="159"/>
      <c r="Q232" s="159"/>
      <c r="R232" s="159"/>
      <c r="S232" s="159"/>
    </row>
    <row r="233" spans="1:19" ht="12.75" customHeight="1">
      <c r="A233" s="287"/>
      <c r="B233" s="287"/>
      <c r="C233" s="287"/>
      <c r="D233" s="305">
        <f t="shared" si="18"/>
        <v>0</v>
      </c>
      <c r="E233" s="289">
        <f t="shared" si="17"/>
        <v>45</v>
      </c>
      <c r="F233" s="306">
        <f>IF($E$190=0,0,IF(E233&gt;50,0,INDEX(CERTIFICACIONES!$F$5:$F$54,'CÁLCULO REVISIÓN'!E233)))</f>
        <v>0</v>
      </c>
      <c r="G233" s="607">
        <f t="shared" si="19"/>
        <v>0</v>
      </c>
      <c r="H233" s="607"/>
      <c r="I233" s="607">
        <f t="shared" si="16"/>
        <v>0</v>
      </c>
      <c r="J233" s="607"/>
      <c r="K233" s="287"/>
      <c r="L233" s="287"/>
      <c r="M233" s="287"/>
      <c r="N233" s="159"/>
      <c r="O233" s="159"/>
      <c r="P233" s="159"/>
      <c r="Q233" s="159"/>
      <c r="R233" s="159"/>
      <c r="S233" s="159"/>
    </row>
    <row r="234" spans="1:19" ht="12.75" customHeight="1">
      <c r="A234" s="287"/>
      <c r="B234" s="287"/>
      <c r="C234" s="287"/>
      <c r="D234" s="305">
        <f t="shared" si="18"/>
        <v>0</v>
      </c>
      <c r="E234" s="289">
        <f t="shared" si="17"/>
        <v>46</v>
      </c>
      <c r="F234" s="306">
        <f>IF($E$190=0,0,IF(E234&gt;50,0,INDEX(CERTIFICACIONES!$F$5:$F$54,'CÁLCULO REVISIÓN'!E234)))</f>
        <v>0</v>
      </c>
      <c r="G234" s="607">
        <f t="shared" si="19"/>
        <v>0</v>
      </c>
      <c r="H234" s="607"/>
      <c r="I234" s="607">
        <f t="shared" si="16"/>
        <v>0</v>
      </c>
      <c r="J234" s="607"/>
      <c r="K234" s="287"/>
      <c r="L234" s="287"/>
      <c r="M234" s="287"/>
      <c r="N234" s="159"/>
      <c r="O234" s="159"/>
      <c r="P234" s="159"/>
      <c r="Q234" s="159"/>
      <c r="R234" s="159"/>
      <c r="S234" s="159"/>
    </row>
    <row r="235" spans="1:19" ht="12.75" customHeight="1">
      <c r="A235" s="287"/>
      <c r="B235" s="287"/>
      <c r="C235" s="287"/>
      <c r="D235" s="305">
        <f t="shared" si="18"/>
        <v>0</v>
      </c>
      <c r="E235" s="289">
        <f t="shared" si="17"/>
        <v>47</v>
      </c>
      <c r="F235" s="306">
        <f>IF($E$190=0,0,IF(E235&gt;50,0,INDEX(CERTIFICACIONES!$F$5:$F$54,'CÁLCULO REVISIÓN'!E235)))</f>
        <v>0</v>
      </c>
      <c r="G235" s="607">
        <f t="shared" si="19"/>
        <v>0</v>
      </c>
      <c r="H235" s="607"/>
      <c r="I235" s="607">
        <f t="shared" si="16"/>
        <v>0</v>
      </c>
      <c r="J235" s="607"/>
      <c r="K235" s="287"/>
      <c r="L235" s="287"/>
      <c r="M235" s="287"/>
      <c r="N235" s="159"/>
      <c r="O235" s="159"/>
      <c r="P235" s="159"/>
      <c r="Q235" s="159"/>
      <c r="R235" s="159"/>
      <c r="S235" s="159"/>
    </row>
    <row r="236" spans="1:19" ht="12.75" customHeight="1">
      <c r="A236" s="287"/>
      <c r="B236" s="287"/>
      <c r="C236" s="287"/>
      <c r="D236" s="305">
        <f t="shared" si="18"/>
        <v>0</v>
      </c>
      <c r="E236" s="289">
        <f t="shared" si="17"/>
        <v>48</v>
      </c>
      <c r="F236" s="306">
        <f>IF($E$190=0,0,IF(E236&gt;50,0,INDEX(CERTIFICACIONES!$F$5:$F$54,'CÁLCULO REVISIÓN'!E236)))</f>
        <v>0</v>
      </c>
      <c r="G236" s="607">
        <f t="shared" si="19"/>
        <v>0</v>
      </c>
      <c r="H236" s="607"/>
      <c r="I236" s="607">
        <f t="shared" si="16"/>
        <v>0</v>
      </c>
      <c r="J236" s="607"/>
      <c r="K236" s="287"/>
      <c r="L236" s="287"/>
      <c r="M236" s="287"/>
      <c r="N236" s="159"/>
      <c r="O236" s="159"/>
      <c r="P236" s="159"/>
      <c r="Q236" s="159"/>
      <c r="R236" s="159"/>
      <c r="S236" s="159"/>
    </row>
    <row r="237" spans="1:19" ht="12.75" customHeight="1">
      <c r="A237" s="287"/>
      <c r="B237" s="287"/>
      <c r="C237" s="287"/>
      <c r="D237" s="305">
        <f t="shared" si="18"/>
        <v>0</v>
      </c>
      <c r="E237" s="289">
        <f t="shared" si="17"/>
        <v>49</v>
      </c>
      <c r="F237" s="306">
        <f>IF($E$190=0,0,IF(E237&gt;50,0,INDEX(CERTIFICACIONES!$F$5:$F$54,'CÁLCULO REVISIÓN'!E237)))</f>
        <v>0</v>
      </c>
      <c r="G237" s="607">
        <f t="shared" si="19"/>
        <v>0</v>
      </c>
      <c r="H237" s="607"/>
      <c r="I237" s="607">
        <f t="shared" si="16"/>
        <v>0</v>
      </c>
      <c r="J237" s="607"/>
      <c r="K237" s="287"/>
      <c r="L237" s="287"/>
      <c r="M237" s="287"/>
      <c r="N237" s="159"/>
      <c r="O237" s="159"/>
      <c r="P237" s="159"/>
      <c r="Q237" s="159"/>
      <c r="R237" s="159"/>
      <c r="S237" s="159"/>
    </row>
    <row r="238" spans="1:19" ht="12.75" customHeight="1">
      <c r="A238" s="287"/>
      <c r="B238" s="287"/>
      <c r="C238" s="287"/>
      <c r="D238" s="305">
        <f t="shared" si="18"/>
        <v>0</v>
      </c>
      <c r="E238" s="289">
        <f t="shared" si="17"/>
        <v>50</v>
      </c>
      <c r="F238" s="306">
        <f>IF($E$190=0,0,IF(E238&gt;50,0,INDEX(CERTIFICACIONES!$F$5:$F$54,'CÁLCULO REVISIÓN'!E238)))</f>
        <v>0</v>
      </c>
      <c r="G238" s="607">
        <f t="shared" si="19"/>
        <v>0</v>
      </c>
      <c r="H238" s="607"/>
      <c r="I238" s="607">
        <f t="shared" si="16"/>
        <v>0</v>
      </c>
      <c r="J238" s="607"/>
      <c r="K238" s="287"/>
      <c r="L238" s="287"/>
      <c r="M238" s="287"/>
      <c r="N238" s="159"/>
      <c r="O238" s="159"/>
      <c r="P238" s="159"/>
      <c r="Q238" s="159"/>
      <c r="R238" s="159"/>
      <c r="S238" s="159"/>
    </row>
    <row r="239" spans="1:19" ht="12.75" customHeight="1">
      <c r="A239" s="287"/>
      <c r="B239" s="287"/>
      <c r="C239" s="287"/>
      <c r="D239" s="305">
        <f t="shared" si="18"/>
        <v>0</v>
      </c>
      <c r="E239" s="289">
        <f t="shared" si="17"/>
        <v>51</v>
      </c>
      <c r="F239" s="306">
        <f>IF($E$190=0,0,IF(E239&gt;50,0,INDEX(CERTIFICACIONES!$F$5:$F$54,'CÁLCULO REVISIÓN'!E239)))</f>
        <v>0</v>
      </c>
      <c r="G239" s="607">
        <f t="shared" si="19"/>
        <v>0</v>
      </c>
      <c r="H239" s="607"/>
      <c r="I239" s="607">
        <f t="shared" si="16"/>
        <v>0</v>
      </c>
      <c r="J239" s="607"/>
      <c r="K239" s="287"/>
      <c r="L239" s="287"/>
      <c r="M239" s="287"/>
      <c r="N239" s="159"/>
      <c r="O239" s="159"/>
      <c r="P239" s="159"/>
      <c r="Q239" s="159"/>
      <c r="R239" s="159"/>
      <c r="S239" s="159"/>
    </row>
    <row r="240" spans="1:19" ht="12.75" customHeight="1">
      <c r="A240" s="287"/>
      <c r="B240" s="287"/>
      <c r="C240" s="287"/>
      <c r="D240" s="287"/>
      <c r="E240" s="287"/>
      <c r="F240" s="287"/>
      <c r="G240" s="287"/>
      <c r="H240" s="287"/>
      <c r="I240" s="287"/>
      <c r="J240" s="287"/>
      <c r="K240" s="287"/>
      <c r="L240" s="301"/>
      <c r="M240" s="301"/>
      <c r="N240" s="159"/>
      <c r="O240" s="159"/>
      <c r="P240" s="159"/>
      <c r="Q240" s="159"/>
      <c r="R240" s="159"/>
      <c r="S240" s="159"/>
    </row>
    <row r="241" spans="1:19" ht="17.25" customHeight="1">
      <c r="A241" s="287"/>
      <c r="B241" s="610" t="s">
        <v>205</v>
      </c>
      <c r="C241" s="610"/>
      <c r="D241" s="610"/>
      <c r="E241" s="610"/>
      <c r="F241" s="608">
        <f>IF(AUXILIAR!D11=1,0,SUM(I190:J239))</f>
        <v>0</v>
      </c>
      <c r="G241" s="608"/>
      <c r="H241" s="287"/>
      <c r="I241" s="287"/>
      <c r="J241" s="287"/>
      <c r="K241" s="287"/>
      <c r="L241" s="301"/>
      <c r="M241" s="301"/>
      <c r="N241" s="159"/>
      <c r="O241" s="159"/>
      <c r="P241" s="159"/>
      <c r="Q241" s="159"/>
      <c r="R241" s="159"/>
      <c r="S241" s="159"/>
    </row>
    <row r="242" spans="1:19" ht="13.5" customHeight="1" thickBot="1">
      <c r="A242" s="307"/>
      <c r="B242" s="307"/>
      <c r="C242" s="307"/>
      <c r="D242" s="307"/>
      <c r="E242" s="307"/>
      <c r="F242" s="307"/>
      <c r="G242" s="307"/>
      <c r="H242" s="307"/>
      <c r="I242" s="307"/>
      <c r="J242" s="307"/>
      <c r="K242" s="307"/>
      <c r="L242" s="308"/>
      <c r="M242" s="308"/>
      <c r="N242" s="159"/>
      <c r="O242" s="159"/>
      <c r="P242" s="159"/>
      <c r="Q242" s="159"/>
      <c r="R242" s="159"/>
      <c r="S242" s="159"/>
    </row>
    <row r="243" spans="1:19" ht="41.25" customHeight="1">
      <c r="A243" s="309"/>
      <c r="B243" s="309"/>
      <c r="C243" s="619" t="s">
        <v>55</v>
      </c>
      <c r="D243" s="619"/>
      <c r="E243" s="619"/>
      <c r="F243" s="619"/>
      <c r="G243" s="619"/>
      <c r="H243" s="619"/>
      <c r="I243" s="619"/>
      <c r="J243" s="619"/>
      <c r="K243" s="619"/>
      <c r="L243" s="619"/>
      <c r="M243" s="310"/>
      <c r="N243" s="159"/>
      <c r="O243" s="159"/>
      <c r="P243" s="159"/>
      <c r="Q243" s="159"/>
      <c r="R243" s="159"/>
      <c r="S243" s="159"/>
    </row>
    <row r="244" spans="1:19" ht="12.75">
      <c r="A244" s="302"/>
      <c r="B244" s="302"/>
      <c r="C244" s="302"/>
      <c r="D244" s="302"/>
      <c r="E244" s="302"/>
      <c r="F244" s="302"/>
      <c r="G244" s="302"/>
      <c r="H244" s="302"/>
      <c r="I244" s="302"/>
      <c r="J244" s="302"/>
      <c r="K244" s="302"/>
      <c r="L244" s="311"/>
      <c r="M244" s="311"/>
      <c r="N244" s="159"/>
      <c r="O244" s="159"/>
      <c r="P244" s="159"/>
      <c r="Q244" s="159"/>
      <c r="R244" s="159"/>
      <c r="S244" s="159"/>
    </row>
    <row r="245" spans="1:19" ht="15">
      <c r="A245" s="302"/>
      <c r="B245" s="616" t="s">
        <v>154</v>
      </c>
      <c r="C245" s="616"/>
      <c r="D245" s="616"/>
      <c r="E245" s="615" t="str">
        <f>INICIO!M12</f>
        <v>Reglamento 2001</v>
      </c>
      <c r="F245" s="615"/>
      <c r="G245" s="615"/>
      <c r="H245" s="312"/>
      <c r="I245" s="599" t="s">
        <v>329</v>
      </c>
      <c r="J245" s="599"/>
      <c r="K245" s="599"/>
      <c r="L245" s="599"/>
      <c r="M245" s="311"/>
      <c r="N245" s="159"/>
      <c r="O245" s="159"/>
      <c r="P245" s="159"/>
      <c r="Q245" s="159"/>
      <c r="R245" s="159"/>
      <c r="S245" s="159"/>
    </row>
    <row r="246" spans="1:19" ht="15">
      <c r="A246" s="302"/>
      <c r="B246" s="312"/>
      <c r="C246" s="312"/>
      <c r="D246" s="312"/>
      <c r="E246" s="312"/>
      <c r="F246" s="312"/>
      <c r="G246" s="312"/>
      <c r="H246" s="312"/>
      <c r="I246" s="598" t="str">
        <f>CONCATENATE("Aplicable a fórmula nº",FÓRMULAS!C8)</f>
        <v>Aplicable a fórmula nº1</v>
      </c>
      <c r="J246" s="598"/>
      <c r="K246" s="598" t="str">
        <f>IF(AUXILIAR!D11=1,"Sólo una fórmula de revisión",CONCATENATE("Aplicable a fórmula ",FÓRMULAS!C9))</f>
        <v>Sólo una fórmula de revisión</v>
      </c>
      <c r="L246" s="598"/>
      <c r="M246" s="311"/>
      <c r="N246" s="159"/>
      <c r="O246" s="159"/>
      <c r="P246" s="159"/>
      <c r="Q246" s="159"/>
      <c r="R246" s="159"/>
      <c r="S246" s="159"/>
    </row>
    <row r="247" spans="1:19" ht="15">
      <c r="A247" s="302"/>
      <c r="B247" s="312"/>
      <c r="C247" s="312"/>
      <c r="D247" s="312"/>
      <c r="E247" s="312"/>
      <c r="F247" s="312"/>
      <c r="G247" s="312"/>
      <c r="H247" s="312"/>
      <c r="I247" s="601">
        <v>1</v>
      </c>
      <c r="J247" s="601"/>
      <c r="K247" s="601">
        <v>1</v>
      </c>
      <c r="L247" s="601"/>
      <c r="M247" s="467"/>
      <c r="N247" s="159"/>
      <c r="O247" s="159"/>
      <c r="P247" s="159"/>
      <c r="Q247" s="159"/>
      <c r="R247" s="159"/>
      <c r="S247" s="159"/>
    </row>
    <row r="248" spans="1:19" ht="15">
      <c r="A248" s="302"/>
      <c r="B248" s="312"/>
      <c r="C248" s="312"/>
      <c r="D248" s="312"/>
      <c r="E248" s="312"/>
      <c r="F248" s="312"/>
      <c r="G248" s="312"/>
      <c r="H248" s="313"/>
      <c r="I248" s="601"/>
      <c r="J248" s="601"/>
      <c r="K248" s="601"/>
      <c r="L248" s="601"/>
      <c r="M248" s="311"/>
      <c r="N248" s="159"/>
      <c r="O248" s="159"/>
      <c r="P248" s="159"/>
      <c r="Q248" s="159"/>
      <c r="R248" s="159"/>
      <c r="S248" s="159"/>
    </row>
    <row r="249" spans="1:19" s="49" customFormat="1" ht="15">
      <c r="A249" s="314"/>
      <c r="B249" s="312"/>
      <c r="C249" s="312"/>
      <c r="D249" s="312"/>
      <c r="E249" s="312"/>
      <c r="F249" s="315"/>
      <c r="G249" s="312"/>
      <c r="H249" s="312"/>
      <c r="I249" s="312"/>
      <c r="J249" s="312"/>
      <c r="K249" s="312"/>
      <c r="L249" s="316"/>
      <c r="M249" s="317"/>
      <c r="N249" s="159"/>
      <c r="O249" s="159"/>
      <c r="P249" s="159"/>
      <c r="Q249" s="159"/>
      <c r="R249" s="159"/>
      <c r="S249" s="159"/>
    </row>
    <row r="250" spans="1:19" s="49" customFormat="1" ht="20.25">
      <c r="A250" s="314"/>
      <c r="B250" s="314"/>
      <c r="C250" s="614" t="s">
        <v>155</v>
      </c>
      <c r="D250" s="614"/>
      <c r="E250" s="614"/>
      <c r="F250" s="614"/>
      <c r="G250" s="614"/>
      <c r="H250" s="614"/>
      <c r="I250" s="614"/>
      <c r="J250" s="614"/>
      <c r="K250" s="614"/>
      <c r="L250" s="614"/>
      <c r="M250" s="317"/>
      <c r="N250" s="159"/>
      <c r="O250" s="159"/>
      <c r="P250" s="159"/>
      <c r="Q250" s="159"/>
      <c r="R250" s="159"/>
      <c r="S250" s="159"/>
    </row>
    <row r="251" spans="1:19" s="49" customFormat="1" ht="15">
      <c r="A251" s="314"/>
      <c r="B251" s="314"/>
      <c r="C251" s="609" t="str">
        <f>CONCATENATE("Fórmula de revision nº ",FÓRMULAS!C8)</f>
        <v>Fórmula de revision nº 1</v>
      </c>
      <c r="D251" s="609"/>
      <c r="E251" s="609"/>
      <c r="F251" s="609"/>
      <c r="G251" s="609"/>
      <c r="H251" s="609" t="str">
        <f>IF(AUXILIAR!D11=1,"Sólo hay una fórmula de revisión",CONCATENATE("Fórmula de revisión nº",FÓRMULAS!C9))</f>
        <v>Sólo hay una fórmula de revisión</v>
      </c>
      <c r="I251" s="609"/>
      <c r="J251" s="609"/>
      <c r="K251" s="609"/>
      <c r="L251" s="609"/>
      <c r="M251" s="317"/>
      <c r="N251" s="159"/>
      <c r="O251" s="159"/>
      <c r="P251" s="159"/>
      <c r="Q251" s="159"/>
      <c r="R251" s="159"/>
      <c r="S251" s="159"/>
    </row>
    <row r="252" spans="1:19" s="49" customFormat="1" ht="15">
      <c r="A252" s="314"/>
      <c r="B252" s="314"/>
      <c r="C252" s="602" t="s">
        <v>157</v>
      </c>
      <c r="D252" s="602"/>
      <c r="E252" s="602"/>
      <c r="F252" s="603">
        <f>CERTIFICACIONES!C57</f>
        <v>0</v>
      </c>
      <c r="G252" s="603"/>
      <c r="H252" s="602" t="s">
        <v>157</v>
      </c>
      <c r="I252" s="602"/>
      <c r="J252" s="602"/>
      <c r="K252" s="603">
        <f>CERTIFICACIONES!F57</f>
        <v>0</v>
      </c>
      <c r="L252" s="604"/>
      <c r="M252" s="317"/>
      <c r="N252" s="159"/>
      <c r="O252" s="159"/>
      <c r="P252" s="159"/>
      <c r="Q252" s="159"/>
      <c r="R252" s="159"/>
      <c r="S252" s="159"/>
    </row>
    <row r="253" spans="1:19" s="49" customFormat="1" ht="15">
      <c r="A253" s="314"/>
      <c r="B253" s="314"/>
      <c r="C253" s="602" t="s">
        <v>156</v>
      </c>
      <c r="D253" s="602"/>
      <c r="E253" s="602"/>
      <c r="F253" s="603">
        <f>CERTIFICACIONES!C58</f>
        <v>0</v>
      </c>
      <c r="G253" s="603"/>
      <c r="H253" s="617" t="s">
        <v>156</v>
      </c>
      <c r="I253" s="617"/>
      <c r="J253" s="617"/>
      <c r="K253" s="603">
        <f>CERTIFICACIONES!F58</f>
        <v>0</v>
      </c>
      <c r="L253" s="603"/>
      <c r="M253" s="317"/>
      <c r="N253" s="159"/>
      <c r="O253" s="159"/>
      <c r="P253" s="159"/>
      <c r="Q253" s="159"/>
      <c r="R253" s="159"/>
      <c r="S253" s="159"/>
    </row>
    <row r="254" spans="1:19" s="49" customFormat="1" ht="15">
      <c r="A254" s="314"/>
      <c r="B254" s="314"/>
      <c r="C254" s="602" t="s">
        <v>163</v>
      </c>
      <c r="D254" s="602"/>
      <c r="E254" s="602"/>
      <c r="F254" s="603">
        <f>CERTIFICACIONES!C55</f>
        <v>0</v>
      </c>
      <c r="G254" s="603"/>
      <c r="H254" s="617" t="s">
        <v>163</v>
      </c>
      <c r="I254" s="617"/>
      <c r="J254" s="617"/>
      <c r="K254" s="603">
        <f>CERTIFICACIONES!F55</f>
        <v>0</v>
      </c>
      <c r="L254" s="604"/>
      <c r="M254" s="317"/>
      <c r="N254" s="159"/>
      <c r="O254" s="159"/>
      <c r="P254" s="159"/>
      <c r="Q254" s="159"/>
      <c r="R254" s="159"/>
      <c r="S254" s="159"/>
    </row>
    <row r="255" spans="1:19" s="49" customFormat="1" ht="15" customHeight="1">
      <c r="A255" s="314"/>
      <c r="B255" s="314"/>
      <c r="C255" s="605" t="s">
        <v>330</v>
      </c>
      <c r="D255" s="605"/>
      <c r="E255" s="605"/>
      <c r="F255" s="618">
        <f>IF(AUXILIAR!$B$13=1,(I247-1)*(F252+(0.8*F253)),(I247-1)*(F252+(0.8*(F254-F252))))</f>
        <v>0</v>
      </c>
      <c r="G255" s="618"/>
      <c r="H255" s="605" t="s">
        <v>330</v>
      </c>
      <c r="I255" s="605"/>
      <c r="J255" s="605"/>
      <c r="K255" s="618">
        <f>IF(AUXILIAR!$B$13=1,(K247-1)*(K252+0.8*K253),(K247-1)*(K252+0.8*(K254-K252)))</f>
        <v>0</v>
      </c>
      <c r="L255" s="618"/>
      <c r="M255" s="317"/>
      <c r="N255" s="159"/>
      <c r="O255" s="159"/>
      <c r="P255" s="159"/>
      <c r="Q255" s="159"/>
      <c r="R255" s="159"/>
      <c r="S255" s="159"/>
    </row>
    <row r="256" spans="1:19" s="49" customFormat="1" ht="34.5" customHeight="1">
      <c r="A256" s="314"/>
      <c r="B256" s="314"/>
      <c r="C256" s="605"/>
      <c r="D256" s="605"/>
      <c r="E256" s="605"/>
      <c r="F256" s="618"/>
      <c r="G256" s="618"/>
      <c r="H256" s="605"/>
      <c r="I256" s="605"/>
      <c r="J256" s="605"/>
      <c r="K256" s="618"/>
      <c r="L256" s="618"/>
      <c r="M256" s="317"/>
      <c r="N256" s="159"/>
      <c r="O256" s="159"/>
      <c r="P256" s="159"/>
      <c r="Q256" s="159"/>
      <c r="R256" s="159"/>
      <c r="S256" s="159"/>
    </row>
    <row r="257" spans="1:19" ht="12.75">
      <c r="A257" s="302"/>
      <c r="B257" s="302"/>
      <c r="C257" s="318"/>
      <c r="D257" s="318"/>
      <c r="E257" s="318"/>
      <c r="F257" s="318"/>
      <c r="G257" s="318"/>
      <c r="H257" s="318"/>
      <c r="I257" s="318"/>
      <c r="J257" s="318"/>
      <c r="K257" s="318"/>
      <c r="L257" s="319"/>
      <c r="M257" s="311"/>
      <c r="N257" s="159"/>
      <c r="O257" s="159"/>
      <c r="P257" s="159"/>
      <c r="Q257" s="159"/>
      <c r="R257" s="159"/>
      <c r="S257" s="159"/>
    </row>
    <row r="258" spans="1:19" ht="12.75">
      <c r="A258" s="302"/>
      <c r="B258" s="302"/>
      <c r="C258" s="302"/>
      <c r="D258" s="289"/>
      <c r="E258" s="311"/>
      <c r="F258" s="311"/>
      <c r="G258" s="311"/>
      <c r="H258" s="311"/>
      <c r="I258" s="311"/>
      <c r="J258" s="311"/>
      <c r="K258" s="311"/>
      <c r="L258" s="311"/>
      <c r="M258" s="311"/>
      <c r="N258" s="159"/>
      <c r="O258" s="159"/>
      <c r="P258" s="159"/>
      <c r="Q258" s="159"/>
      <c r="R258" s="159"/>
      <c r="S258" s="159"/>
    </row>
    <row r="259" spans="1:19" ht="22.5">
      <c r="A259" s="302"/>
      <c r="B259" s="302"/>
      <c r="C259" s="600" t="s">
        <v>56</v>
      </c>
      <c r="D259" s="600"/>
      <c r="E259" s="600"/>
      <c r="F259" s="600"/>
      <c r="G259" s="600"/>
      <c r="H259" s="606">
        <f>K255+F255+F185+F241</f>
        <v>0</v>
      </c>
      <c r="I259" s="606"/>
      <c r="J259" s="606"/>
      <c r="K259" s="606"/>
      <c r="L259" s="606"/>
      <c r="M259" s="311"/>
      <c r="N259" s="159"/>
      <c r="O259" s="159"/>
      <c r="P259" s="159"/>
      <c r="Q259" s="159"/>
      <c r="R259" s="159"/>
      <c r="S259" s="159"/>
    </row>
    <row r="260" spans="1:19" ht="12.75">
      <c r="A260" s="284"/>
      <c r="B260" s="284"/>
      <c r="C260" s="284"/>
      <c r="D260" s="281"/>
      <c r="E260" s="320"/>
      <c r="F260" s="320"/>
      <c r="G260" s="320"/>
      <c r="H260" s="320"/>
      <c r="I260" s="320"/>
      <c r="J260" s="320"/>
      <c r="K260" s="320"/>
      <c r="L260" s="320"/>
      <c r="M260" s="320"/>
      <c r="N260" s="159"/>
      <c r="O260" s="159"/>
      <c r="P260" s="159"/>
      <c r="Q260" s="159"/>
      <c r="R260" s="159"/>
      <c r="S260" s="159"/>
    </row>
    <row r="261" spans="1:19" ht="12.75">
      <c r="A261" s="269"/>
      <c r="B261" s="269"/>
      <c r="C261" s="269"/>
      <c r="D261" s="273"/>
      <c r="E261" s="268"/>
      <c r="F261" s="268"/>
      <c r="G261" s="268"/>
      <c r="H261" s="268"/>
      <c r="I261" s="268"/>
      <c r="J261" s="268"/>
      <c r="K261" s="268"/>
      <c r="L261" s="268"/>
      <c r="M261" s="268"/>
      <c r="N261" s="159"/>
      <c r="O261" s="159"/>
      <c r="P261" s="159"/>
      <c r="Q261" s="159"/>
      <c r="R261" s="159"/>
      <c r="S261" s="159"/>
    </row>
    <row r="262" spans="1:19" ht="12.75">
      <c r="A262" s="269"/>
      <c r="B262" s="269"/>
      <c r="C262" s="269"/>
      <c r="D262" s="273"/>
      <c r="E262" s="268"/>
      <c r="F262" s="268"/>
      <c r="G262" s="268"/>
      <c r="H262" s="268"/>
      <c r="I262" s="268"/>
      <c r="J262" s="268"/>
      <c r="K262" s="268"/>
      <c r="L262" s="268"/>
      <c r="M262" s="268"/>
      <c r="N262" s="159"/>
      <c r="O262" s="159"/>
      <c r="P262" s="159"/>
      <c r="Q262" s="159"/>
      <c r="R262" s="159"/>
      <c r="S262" s="159"/>
    </row>
    <row r="263" spans="1:25" ht="12.75">
      <c r="A263" s="269"/>
      <c r="B263" s="269"/>
      <c r="C263" s="269"/>
      <c r="D263" s="273"/>
      <c r="E263" s="268"/>
      <c r="F263" s="592" t="s">
        <v>123</v>
      </c>
      <c r="G263" s="593"/>
      <c r="H263" s="593"/>
      <c r="I263" s="593"/>
      <c r="J263" s="593"/>
      <c r="K263" s="594"/>
      <c r="L263" s="268"/>
      <c r="M263" s="268"/>
      <c r="N263" s="159"/>
      <c r="O263" s="159"/>
      <c r="P263" s="159"/>
      <c r="Q263" s="159"/>
      <c r="R263" s="159"/>
      <c r="S263" s="159"/>
      <c r="T263" s="17"/>
      <c r="U263" s="17"/>
      <c r="V263" s="17"/>
      <c r="W263" s="17"/>
      <c r="X263" s="17"/>
      <c r="Y263" s="17"/>
    </row>
    <row r="264" spans="1:25" ht="13.5" thickBot="1">
      <c r="A264" s="269"/>
      <c r="B264" s="269"/>
      <c r="C264" s="269"/>
      <c r="D264" s="273"/>
      <c r="E264" s="268"/>
      <c r="F264" s="595"/>
      <c r="G264" s="596"/>
      <c r="H264" s="596"/>
      <c r="I264" s="596"/>
      <c r="J264" s="596"/>
      <c r="K264" s="597"/>
      <c r="L264" s="268"/>
      <c r="M264" s="268"/>
      <c r="N264" s="159"/>
      <c r="O264" s="159"/>
      <c r="P264" s="159"/>
      <c r="Q264" s="159"/>
      <c r="R264" s="159"/>
      <c r="S264" s="159"/>
      <c r="T264" s="17"/>
      <c r="U264" s="17"/>
      <c r="V264" s="17"/>
      <c r="W264" s="17"/>
      <c r="X264" s="17"/>
      <c r="Y264" s="17"/>
    </row>
    <row r="265" spans="1:25" ht="12.75">
      <c r="A265" s="75"/>
      <c r="B265" s="75"/>
      <c r="C265" s="75"/>
      <c r="D265" s="78"/>
      <c r="E265" s="73"/>
      <c r="F265" s="73"/>
      <c r="G265" s="73"/>
      <c r="H265" s="73"/>
      <c r="I265" s="73"/>
      <c r="J265" s="73"/>
      <c r="K265" s="73"/>
      <c r="L265" s="73"/>
      <c r="M265" s="73"/>
      <c r="N265" s="159"/>
      <c r="O265" s="159"/>
      <c r="P265" s="159"/>
      <c r="Q265" s="159"/>
      <c r="R265" s="159"/>
      <c r="S265" s="159"/>
      <c r="T265" s="17"/>
      <c r="U265" s="17"/>
      <c r="V265" s="17"/>
      <c r="W265" s="17"/>
      <c r="X265" s="17"/>
      <c r="Y265" s="17"/>
    </row>
    <row r="266" spans="1:19" ht="12.75">
      <c r="A266" s="159"/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407"/>
      <c r="N266" s="159"/>
      <c r="O266" s="159"/>
      <c r="P266" s="159"/>
      <c r="Q266" s="159"/>
      <c r="R266" s="159"/>
      <c r="S266" s="159"/>
    </row>
    <row r="267" spans="1:19" ht="12.75">
      <c r="A267" s="159"/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408"/>
      <c r="N267" s="159"/>
      <c r="O267" s="159"/>
      <c r="P267" s="159"/>
      <c r="Q267" s="159"/>
      <c r="R267" s="159"/>
      <c r="S267" s="159"/>
    </row>
    <row r="268" spans="1:19" ht="12.75">
      <c r="A268" s="159"/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ht="12.75">
      <c r="A269" s="159"/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ht="12.75">
      <c r="A270" s="159"/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ht="12.75">
      <c r="A271" s="159"/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ht="12.75">
      <c r="A272" s="159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ht="12.75">
      <c r="A273" s="159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ht="12.75">
      <c r="A274" s="159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ht="12.75">
      <c r="A275" s="159"/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ht="12.75">
      <c r="A276" s="159"/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ht="12.75">
      <c r="A277" s="159"/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ht="12.75">
      <c r="A278" s="159"/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ht="12.75">
      <c r="A279" s="159"/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ht="12.75">
      <c r="A280" s="159"/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ht="12.75">
      <c r="A281" s="159"/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ht="12.75">
      <c r="A282" s="159"/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ht="12.75">
      <c r="A283" s="159"/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ht="12.75">
      <c r="A284" s="159"/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ht="12.75">
      <c r="A285" s="159"/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ht="12.75">
      <c r="A286" s="159"/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ht="12.75">
      <c r="A287" s="159"/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ht="12.75">
      <c r="A288" s="159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ht="12.75">
      <c r="A289" s="159"/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ht="12.75">
      <c r="A290" s="159"/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ht="12.75">
      <c r="A291" s="159"/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ht="12.75">
      <c r="A292" s="159"/>
      <c r="B292" s="159"/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ht="12.75">
      <c r="A293" s="159"/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ht="12.75">
      <c r="A294" s="159"/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ht="12.75">
      <c r="A295" s="159"/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ht="12.75">
      <c r="A296" s="159"/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ht="12.75">
      <c r="A297" s="159"/>
      <c r="B297" s="159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ht="12.75">
      <c r="A298" s="159"/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ht="12.75">
      <c r="A299" s="159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ht="12.75">
      <c r="A300" s="159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ht="12.75">
      <c r="A301" s="159"/>
      <c r="B301" s="159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ht="12.75">
      <c r="A302" s="159"/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ht="12.75">
      <c r="A303" s="159"/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ht="12.75">
      <c r="A304" s="159"/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 t="s">
        <v>318</v>
      </c>
    </row>
  </sheetData>
  <sheetProtection password="E4D0" sheet="1"/>
  <mergeCells count="249">
    <mergeCell ref="E1:I1"/>
    <mergeCell ref="E2:I2"/>
    <mergeCell ref="E3:I3"/>
    <mergeCell ref="E4:I5"/>
    <mergeCell ref="G236:H236"/>
    <mergeCell ref="I236:J236"/>
    <mergeCell ref="I232:J232"/>
    <mergeCell ref="G233:H233"/>
    <mergeCell ref="G234:H234"/>
    <mergeCell ref="G141:H141"/>
    <mergeCell ref="G134:H134"/>
    <mergeCell ref="I233:J233"/>
    <mergeCell ref="G228:H228"/>
    <mergeCell ref="G229:H229"/>
    <mergeCell ref="I228:J228"/>
    <mergeCell ref="I230:J230"/>
    <mergeCell ref="I229:J229"/>
    <mergeCell ref="G230:H230"/>
    <mergeCell ref="G231:H231"/>
    <mergeCell ref="I231:J231"/>
    <mergeCell ref="K254:L254"/>
    <mergeCell ref="D7:J10"/>
    <mergeCell ref="I183:J183"/>
    <mergeCell ref="G145:H145"/>
    <mergeCell ref="G146:H146"/>
    <mergeCell ref="H251:L251"/>
    <mergeCell ref="K247:L248"/>
    <mergeCell ref="F253:G253"/>
    <mergeCell ref="H253:J253"/>
    <mergeCell ref="C253:E253"/>
    <mergeCell ref="K255:L256"/>
    <mergeCell ref="C243:L243"/>
    <mergeCell ref="G235:H235"/>
    <mergeCell ref="I235:J235"/>
    <mergeCell ref="F241:G241"/>
    <mergeCell ref="I237:J237"/>
    <mergeCell ref="I238:J238"/>
    <mergeCell ref="I239:J239"/>
    <mergeCell ref="G237:H237"/>
    <mergeCell ref="K253:L253"/>
    <mergeCell ref="F252:G252"/>
    <mergeCell ref="F254:G254"/>
    <mergeCell ref="H252:J252"/>
    <mergeCell ref="H254:J254"/>
    <mergeCell ref="F255:G256"/>
    <mergeCell ref="C254:E254"/>
    <mergeCell ref="G232:H232"/>
    <mergeCell ref="I234:J234"/>
    <mergeCell ref="C250:L250"/>
    <mergeCell ref="C251:G251"/>
    <mergeCell ref="G238:H238"/>
    <mergeCell ref="B241:E241"/>
    <mergeCell ref="G239:H239"/>
    <mergeCell ref="E245:G245"/>
    <mergeCell ref="B245:D245"/>
    <mergeCell ref="G223:H223"/>
    <mergeCell ref="I223:J223"/>
    <mergeCell ref="G227:H227"/>
    <mergeCell ref="I227:J227"/>
    <mergeCell ref="G224:H224"/>
    <mergeCell ref="I224:J224"/>
    <mergeCell ref="G225:H225"/>
    <mergeCell ref="I225:J225"/>
    <mergeCell ref="G226:H226"/>
    <mergeCell ref="I226:J226"/>
    <mergeCell ref="I221:J221"/>
    <mergeCell ref="G214:H214"/>
    <mergeCell ref="I214:J214"/>
    <mergeCell ref="G217:H217"/>
    <mergeCell ref="I217:J217"/>
    <mergeCell ref="G215:H215"/>
    <mergeCell ref="I215:J215"/>
    <mergeCell ref="G216:H216"/>
    <mergeCell ref="I216:J216"/>
    <mergeCell ref="I211:J211"/>
    <mergeCell ref="G204:H204"/>
    <mergeCell ref="G220:H220"/>
    <mergeCell ref="I220:J220"/>
    <mergeCell ref="G218:H218"/>
    <mergeCell ref="G222:H222"/>
    <mergeCell ref="I218:J218"/>
    <mergeCell ref="G219:H219"/>
    <mergeCell ref="I219:J219"/>
    <mergeCell ref="G221:H221"/>
    <mergeCell ref="I204:J204"/>
    <mergeCell ref="G205:H205"/>
    <mergeCell ref="I205:J205"/>
    <mergeCell ref="G206:H206"/>
    <mergeCell ref="I206:J206"/>
    <mergeCell ref="I209:J209"/>
    <mergeCell ref="G213:H213"/>
    <mergeCell ref="I213:J213"/>
    <mergeCell ref="G208:H208"/>
    <mergeCell ref="I208:J208"/>
    <mergeCell ref="G209:H209"/>
    <mergeCell ref="G212:H212"/>
    <mergeCell ref="I212:J212"/>
    <mergeCell ref="G210:H210"/>
    <mergeCell ref="I210:J210"/>
    <mergeCell ref="G211:H211"/>
    <mergeCell ref="G166:H166"/>
    <mergeCell ref="I199:J199"/>
    <mergeCell ref="G200:H200"/>
    <mergeCell ref="I200:J200"/>
    <mergeCell ref="G207:H207"/>
    <mergeCell ref="I207:J207"/>
    <mergeCell ref="G202:H202"/>
    <mergeCell ref="I202:J202"/>
    <mergeCell ref="G203:H203"/>
    <mergeCell ref="I203:J203"/>
    <mergeCell ref="G162:H162"/>
    <mergeCell ref="G163:H163"/>
    <mergeCell ref="G164:H164"/>
    <mergeCell ref="G160:H160"/>
    <mergeCell ref="G161:H161"/>
    <mergeCell ref="G165:H165"/>
    <mergeCell ref="G198:H198"/>
    <mergeCell ref="G199:H199"/>
    <mergeCell ref="G194:H194"/>
    <mergeCell ref="I151:J151"/>
    <mergeCell ref="I152:J152"/>
    <mergeCell ref="G151:H151"/>
    <mergeCell ref="G153:H153"/>
    <mergeCell ref="G181:H181"/>
    <mergeCell ref="G178:H178"/>
    <mergeCell ref="I189:J189"/>
    <mergeCell ref="I197:J197"/>
    <mergeCell ref="G195:H195"/>
    <mergeCell ref="G154:H154"/>
    <mergeCell ref="G155:H155"/>
    <mergeCell ref="I147:J147"/>
    <mergeCell ref="G170:H170"/>
    <mergeCell ref="G152:H152"/>
    <mergeCell ref="G159:H159"/>
    <mergeCell ref="G175:H175"/>
    <mergeCell ref="G172:H172"/>
    <mergeCell ref="G150:H150"/>
    <mergeCell ref="I135:J135"/>
    <mergeCell ref="I136:J136"/>
    <mergeCell ref="G144:H144"/>
    <mergeCell ref="G143:H143"/>
    <mergeCell ref="G142:H142"/>
    <mergeCell ref="G135:H135"/>
    <mergeCell ref="G136:H136"/>
    <mergeCell ref="G140:H140"/>
    <mergeCell ref="G139:H139"/>
    <mergeCell ref="G156:H156"/>
    <mergeCell ref="G158:H158"/>
    <mergeCell ref="I149:J149"/>
    <mergeCell ref="I150:J150"/>
    <mergeCell ref="G137:H137"/>
    <mergeCell ref="G138:H138"/>
    <mergeCell ref="I137:J137"/>
    <mergeCell ref="I143:J143"/>
    <mergeCell ref="I144:J144"/>
    <mergeCell ref="G149:H149"/>
    <mergeCell ref="I140:J140"/>
    <mergeCell ref="G157:H157"/>
    <mergeCell ref="B13:L13"/>
    <mergeCell ref="D132:J132"/>
    <mergeCell ref="B14:L14"/>
    <mergeCell ref="G133:H133"/>
    <mergeCell ref="I133:J133"/>
    <mergeCell ref="B17:L17"/>
    <mergeCell ref="B20:L20"/>
    <mergeCell ref="I148:J148"/>
    <mergeCell ref="I171:J171"/>
    <mergeCell ref="I172:J172"/>
    <mergeCell ref="I134:J134"/>
    <mergeCell ref="G147:H147"/>
    <mergeCell ref="G148:H148"/>
    <mergeCell ref="I145:J145"/>
    <mergeCell ref="I146:J146"/>
    <mergeCell ref="I142:J142"/>
    <mergeCell ref="I138:J138"/>
    <mergeCell ref="I139:J139"/>
    <mergeCell ref="G177:H177"/>
    <mergeCell ref="G167:H167"/>
    <mergeCell ref="G168:H168"/>
    <mergeCell ref="G169:H169"/>
    <mergeCell ref="G176:H176"/>
    <mergeCell ref="G171:H171"/>
    <mergeCell ref="G173:H173"/>
    <mergeCell ref="G174:H174"/>
    <mergeCell ref="I141:J141"/>
    <mergeCell ref="I158:J158"/>
    <mergeCell ref="I159:J159"/>
    <mergeCell ref="I160:J160"/>
    <mergeCell ref="I165:J165"/>
    <mergeCell ref="I157:J157"/>
    <mergeCell ref="I166:J166"/>
    <mergeCell ref="I153:J153"/>
    <mergeCell ref="I154:J154"/>
    <mergeCell ref="I155:J155"/>
    <mergeCell ref="I156:J156"/>
    <mergeCell ref="I161:J161"/>
    <mergeCell ref="I162:J162"/>
    <mergeCell ref="I163:J163"/>
    <mergeCell ref="I164:J164"/>
    <mergeCell ref="I167:J167"/>
    <mergeCell ref="I168:J168"/>
    <mergeCell ref="I198:J198"/>
    <mergeCell ref="D188:J188"/>
    <mergeCell ref="B185:E185"/>
    <mergeCell ref="I182:J182"/>
    <mergeCell ref="G182:H182"/>
    <mergeCell ref="G189:H189"/>
    <mergeCell ref="I177:J177"/>
    <mergeCell ref="I176:J176"/>
    <mergeCell ref="I193:J193"/>
    <mergeCell ref="I190:J190"/>
    <mergeCell ref="I191:J191"/>
    <mergeCell ref="I192:J192"/>
    <mergeCell ref="I169:J169"/>
    <mergeCell ref="I170:J170"/>
    <mergeCell ref="I181:J181"/>
    <mergeCell ref="I174:J174"/>
    <mergeCell ref="I175:J175"/>
    <mergeCell ref="I173:J173"/>
    <mergeCell ref="I178:J178"/>
    <mergeCell ref="I179:J179"/>
    <mergeCell ref="I180:J180"/>
    <mergeCell ref="G179:H179"/>
    <mergeCell ref="G180:H180"/>
    <mergeCell ref="I222:J222"/>
    <mergeCell ref="G201:H201"/>
    <mergeCell ref="I201:J201"/>
    <mergeCell ref="G183:H183"/>
    <mergeCell ref="F185:G185"/>
    <mergeCell ref="H259:L259"/>
    <mergeCell ref="G190:H190"/>
    <mergeCell ref="G191:H191"/>
    <mergeCell ref="G192:H192"/>
    <mergeCell ref="I195:J195"/>
    <mergeCell ref="G196:H196"/>
    <mergeCell ref="I196:J196"/>
    <mergeCell ref="I194:J194"/>
    <mergeCell ref="G197:H197"/>
    <mergeCell ref="G193:H193"/>
    <mergeCell ref="F263:K264"/>
    <mergeCell ref="I246:J246"/>
    <mergeCell ref="K246:L246"/>
    <mergeCell ref="I245:L245"/>
    <mergeCell ref="C259:G259"/>
    <mergeCell ref="I247:J248"/>
    <mergeCell ref="C252:E252"/>
    <mergeCell ref="K252:L252"/>
    <mergeCell ref="C255:E256"/>
    <mergeCell ref="H255:J256"/>
  </mergeCells>
  <conditionalFormatting sqref="A29:A76 A82:A129">
    <cfRule type="expression" priority="14" dxfId="5" stopIfTrue="1">
      <formula>$C29=0</formula>
    </cfRule>
  </conditionalFormatting>
  <conditionalFormatting sqref="A28:B28 B29:B76 A81:B81 B82:B129">
    <cfRule type="expression" priority="15" dxfId="5" stopIfTrue="1">
      <formula>C28=0</formula>
    </cfRule>
  </conditionalFormatting>
  <conditionalFormatting sqref="L28:L76 D190:D239 L81:L129 C104:K129 D134:D183">
    <cfRule type="cellIs" priority="16" dxfId="5" operator="equal" stopIfTrue="1">
      <formula>0</formula>
    </cfRule>
  </conditionalFormatting>
  <conditionalFormatting sqref="E134:E183 E190:E239">
    <cfRule type="expression" priority="17" dxfId="5" stopIfTrue="1">
      <formula>D134=0</formula>
    </cfRule>
  </conditionalFormatting>
  <conditionalFormatting sqref="C93:K116">
    <cfRule type="cellIs" priority="12" dxfId="5" operator="equal" stopIfTrue="1">
      <formula>0</formula>
    </cfRule>
  </conditionalFormatting>
  <conditionalFormatting sqref="C117:K129">
    <cfRule type="cellIs" priority="11" dxfId="5" operator="equal" stopIfTrue="1">
      <formula>0</formula>
    </cfRule>
  </conditionalFormatting>
  <conditionalFormatting sqref="C93:K103">
    <cfRule type="cellIs" priority="10" dxfId="5" operator="equal" stopIfTrue="1">
      <formula>0</formula>
    </cfRule>
  </conditionalFormatting>
  <conditionalFormatting sqref="C93:K103">
    <cfRule type="cellIs" priority="9" dxfId="5" operator="equal" stopIfTrue="1">
      <formula>0</formula>
    </cfRule>
  </conditionalFormatting>
  <conditionalFormatting sqref="C28:K76">
    <cfRule type="expression" priority="8" dxfId="5" stopIfTrue="1">
      <formula>E28=0</formula>
    </cfRule>
  </conditionalFormatting>
  <conditionalFormatting sqref="K28:K76">
    <cfRule type="expression" priority="7" dxfId="15" stopIfTrue="1">
      <formula>$K28=0</formula>
    </cfRule>
  </conditionalFormatting>
  <conditionalFormatting sqref="C27:K76">
    <cfRule type="expression" priority="6" dxfId="5" stopIfTrue="1">
      <formula>E27=0</formula>
    </cfRule>
  </conditionalFormatting>
  <conditionalFormatting sqref="K27:K76">
    <cfRule type="expression" priority="5" dxfId="15" stopIfTrue="1">
      <formula>$K27=0</formula>
    </cfRule>
  </conditionalFormatting>
  <conditionalFormatting sqref="C80:K129">
    <cfRule type="expression" priority="4" dxfId="5" stopIfTrue="1">
      <formula>E80=0</formula>
    </cfRule>
  </conditionalFormatting>
  <conditionalFormatting sqref="K80:K129">
    <cfRule type="expression" priority="3" dxfId="15" stopIfTrue="1">
      <formula>$K80=0</formula>
    </cfRule>
  </conditionalFormatting>
  <conditionalFormatting sqref="C80:K129">
    <cfRule type="expression" priority="2" dxfId="5" stopIfTrue="1">
      <formula>E80=0</formula>
    </cfRule>
  </conditionalFormatting>
  <conditionalFormatting sqref="K80:K129">
    <cfRule type="expression" priority="1" dxfId="15" stopIfTrue="1">
      <formula>$K80=0</formula>
    </cfRule>
  </conditionalFormatting>
  <hyperlinks>
    <hyperlink ref="F263:K264" location="INICIO!B37" display="VOLVER A HOJA PRINCIPAL"/>
  </hyperlinks>
  <printOptions horizontalCentered="1" verticalCentered="1"/>
  <pageMargins left="0.7874015748031497" right="0.1968503937007874" top="0.3937007874015748" bottom="0.3937007874015748" header="0.5118110236220472" footer="0.5118110236220472"/>
  <pageSetup blackAndWhite="1" fitToHeight="0" horizontalDpi="600" verticalDpi="600" orientation="landscape" paperSize="9" scale="70" r:id="rId2"/>
  <headerFooter alignWithMargins="0">
    <oddHeader>&amp;L&amp;F</oddHeader>
    <oddFooter>&amp;R&amp;8&amp;P DE &amp;N</oddFooter>
  </headerFooter>
  <rowBreaks count="5" manualBreakCount="5">
    <brk id="24" max="255" man="1"/>
    <brk id="77" max="12" man="1"/>
    <brk id="130" max="12" man="1"/>
    <brk id="186" max="12" man="1"/>
    <brk id="242" max="12" man="1"/>
  </rowBreaks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A98"/>
  <sheetViews>
    <sheetView showRowColHeaders="0" zoomScale="85" zoomScaleNormal="85" zoomScalePageLayoutView="0" workbookViewId="0" topLeftCell="A1">
      <selection activeCell="C8" sqref="C8"/>
    </sheetView>
  </sheetViews>
  <sheetFormatPr defaultColWidth="11.421875" defaultRowHeight="12.75"/>
  <cols>
    <col min="1" max="1" width="6.28125" style="0" customWidth="1"/>
    <col min="2" max="2" width="28.00390625" style="0" customWidth="1"/>
    <col min="3" max="3" width="10.140625" style="0" customWidth="1"/>
    <col min="4" max="4" width="29.7109375" style="0" customWidth="1"/>
    <col min="5" max="6" width="9.7109375" style="0" customWidth="1"/>
    <col min="7" max="7" width="10.421875" style="0" customWidth="1"/>
    <col min="8" max="9" width="9.7109375" style="0" customWidth="1"/>
    <col min="10" max="10" width="11.8515625" style="0" customWidth="1"/>
    <col min="11" max="12" width="9.7109375" style="0" customWidth="1"/>
    <col min="13" max="13" width="10.57421875" style="0" customWidth="1"/>
    <col min="14" max="14" width="9.7109375" style="0" customWidth="1"/>
  </cols>
  <sheetData>
    <row r="1" spans="1:27" ht="12.75">
      <c r="A1" s="72"/>
      <c r="B1" s="72"/>
      <c r="C1" s="72"/>
      <c r="D1" s="72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7" ht="16.5" customHeight="1">
      <c r="A2" s="178"/>
      <c r="B2" s="636" t="s">
        <v>354</v>
      </c>
      <c r="C2" s="636"/>
      <c r="D2" s="178"/>
      <c r="E2" s="178"/>
      <c r="F2" s="626" t="s">
        <v>283</v>
      </c>
      <c r="G2" s="626"/>
      <c r="H2" s="178"/>
      <c r="I2" s="626" t="s">
        <v>284</v>
      </c>
      <c r="J2" s="626"/>
      <c r="K2" s="178"/>
      <c r="L2" s="630"/>
      <c r="M2" s="630"/>
      <c r="N2" s="630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ht="12.75" customHeight="1">
      <c r="A3" s="179"/>
      <c r="B3" s="634" t="s">
        <v>355</v>
      </c>
      <c r="C3" s="634"/>
      <c r="D3" s="74"/>
      <c r="E3" s="178"/>
      <c r="F3" s="178"/>
      <c r="G3" s="178"/>
      <c r="H3" s="178"/>
      <c r="I3" s="178"/>
      <c r="J3" s="178"/>
      <c r="K3" s="178"/>
      <c r="L3" s="631"/>
      <c r="M3" s="631"/>
      <c r="N3" s="631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27" ht="12.75" customHeight="1">
      <c r="A4" s="74"/>
      <c r="B4" s="634"/>
      <c r="C4" s="634"/>
      <c r="D4" s="74"/>
      <c r="E4" s="627" t="s">
        <v>123</v>
      </c>
      <c r="F4" s="628"/>
      <c r="G4" s="628"/>
      <c r="H4" s="628"/>
      <c r="I4" s="628"/>
      <c r="J4" s="629"/>
      <c r="K4" s="178"/>
      <c r="L4" s="631"/>
      <c r="M4" s="631"/>
      <c r="N4" s="631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1:27" ht="12.75" customHeight="1" thickBot="1">
      <c r="A5" s="172"/>
      <c r="B5" s="635"/>
      <c r="C5" s="635"/>
      <c r="D5" s="172"/>
      <c r="E5" s="164"/>
      <c r="F5" s="164"/>
      <c r="G5" s="164"/>
      <c r="H5" s="164"/>
      <c r="I5" s="164"/>
      <c r="J5" s="164"/>
      <c r="K5" s="180"/>
      <c r="L5" s="181"/>
      <c r="M5" s="181"/>
      <c r="N5" s="181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1:27" ht="12.75" customHeight="1">
      <c r="A6" s="175"/>
      <c r="B6" s="189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</row>
    <row r="7" spans="1:27" ht="15" customHeight="1">
      <c r="A7" s="175"/>
      <c r="B7" s="189"/>
      <c r="C7" s="190" t="s">
        <v>124</v>
      </c>
      <c r="D7" s="253"/>
      <c r="E7" s="191" t="s">
        <v>13</v>
      </c>
      <c r="F7" s="191" t="s">
        <v>14</v>
      </c>
      <c r="G7" s="191" t="s">
        <v>15</v>
      </c>
      <c r="H7" s="191" t="s">
        <v>16</v>
      </c>
      <c r="I7" s="191" t="s">
        <v>17</v>
      </c>
      <c r="J7" s="191" t="s">
        <v>18</v>
      </c>
      <c r="K7" s="191" t="s">
        <v>19</v>
      </c>
      <c r="L7" s="191" t="s">
        <v>20</v>
      </c>
      <c r="M7" s="191" t="s">
        <v>21</v>
      </c>
      <c r="N7" s="191" t="s">
        <v>22</v>
      </c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</row>
    <row r="8" spans="1:27" ht="12.75" customHeight="1">
      <c r="A8" s="182">
        <f>INICIO!P10</f>
        <v>3</v>
      </c>
      <c r="B8" s="183"/>
      <c r="C8" s="252">
        <v>1</v>
      </c>
      <c r="D8" s="254" t="s">
        <v>285</v>
      </c>
      <c r="E8" s="177">
        <f>IF($C$8=0,"-",IF(AUXILIAR!B13&lt;4,INDEX($E$17:$N$66,$C$8,1),0))</f>
        <v>0.34</v>
      </c>
      <c r="F8" s="177">
        <f>IF($C$8=0,"-",INDEX($E$17:$N$66,$C$8,2))</f>
        <v>0.26</v>
      </c>
      <c r="G8" s="177">
        <f>IF($C$8=0,"-",INDEX($E$17:$N$66,$C$8,3))</f>
        <v>0.05</v>
      </c>
      <c r="H8" s="177">
        <f>IF($C$8=0,"-",INDEX($E$17:$N$66,$C$8,4))</f>
        <v>0.18</v>
      </c>
      <c r="I8" s="177">
        <f>IF($C$8=0,"-",INDEX($E$17:$N$66,$C$8,5))</f>
        <v>0.02</v>
      </c>
      <c r="J8" s="177">
        <f>IF($C$8=0,"-",INDEX($E$17:$N$66,$C$8,6))</f>
        <v>0</v>
      </c>
      <c r="K8" s="177">
        <f>IF($C$8=0,"-",INDEX($E$17:$N$66,$C$8,7))</f>
        <v>0</v>
      </c>
      <c r="L8" s="177">
        <f>IF($C$8=0,"-",INDEX($E$17:$N$66,$C$8,8))</f>
        <v>0</v>
      </c>
      <c r="M8" s="177">
        <f>IF($C$8=0,"-",INDEX($E$17:$N$66,$C$8,9))</f>
        <v>0</v>
      </c>
      <c r="N8" s="177">
        <f>IF($C$8=0,"-",IF(AUXILIAR!B13&lt;4,INDEX($E$17:$N$66,$C$8,10),INDEX($E$17:$N$66,$C$8,10)+INDEX($E$17:$N$66,$C$8,1)))</f>
        <v>0.15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</row>
    <row r="9" spans="1:27" ht="12.75" customHeight="1">
      <c r="A9" s="183"/>
      <c r="B9" s="183"/>
      <c r="C9" s="252">
        <v>1</v>
      </c>
      <c r="D9" s="254" t="s">
        <v>286</v>
      </c>
      <c r="E9" s="177" t="str">
        <f>IF(AUXILIAR!$D$11=1,"-",IF($C$9&lt;&gt;0,IF(K12=0,INDEX($E$17:$N$66,$C$9,1),0),"-"))</f>
        <v>-</v>
      </c>
      <c r="F9" s="177" t="str">
        <f>IF(AUXILIAR!$D$11=1,"-",IF($C$9&lt;&gt;0,INDEX($E$17:$N$66,$C$9,2),"-"))</f>
        <v>-</v>
      </c>
      <c r="G9" s="177" t="str">
        <f>IF(AUXILIAR!$D$11=1,"-",IF($C$9&lt;&gt;0,INDEX($E$17:$N$66,$C$9,3),"-"))</f>
        <v>-</v>
      </c>
      <c r="H9" s="177" t="str">
        <f>IF(AUXILIAR!$D$11=1,"-",IF($C$9&lt;&gt;0,INDEX($E$17:$N$66,$C$9,4),"-"))</f>
        <v>-</v>
      </c>
      <c r="I9" s="177" t="str">
        <f>IF(AUXILIAR!$D$11=1,"-",IF($C$9&lt;&gt;0,INDEX($E$17:$N$66,$C$9,5),"-"))</f>
        <v>-</v>
      </c>
      <c r="J9" s="177" t="str">
        <f>IF(AUXILIAR!$D$11=1,"-",IF($C$9&lt;&gt;0,INDEX($E$17:$N$66,$C$9,6),"-"))</f>
        <v>-</v>
      </c>
      <c r="K9" s="177" t="str">
        <f>IF(AUXILIAR!$D$11=1,"-",IF($C$9&lt;&gt;0,INDEX($E$17:$N$66,$C$9,7),"-"))</f>
        <v>-</v>
      </c>
      <c r="L9" s="177" t="str">
        <f>IF(AUXILIAR!$D$11=1,"-",IF($C$9&lt;&gt;0,INDEX($E$17:$N$66,$C$9,8),"-"))</f>
        <v>-</v>
      </c>
      <c r="M9" s="177" t="str">
        <f>IF(AUXILIAR!$D$11=1,"-",IF($C$9&lt;&gt;0,INDEX($E$17:$N$66,$C$9,9),"-"))</f>
        <v>-</v>
      </c>
      <c r="N9" s="177" t="str">
        <f>IF(AUXILIAR!$D$11=1,"-",IF($C$9&lt;&gt;0,IF(K12=0,INDEX($E$17:$N$66,$C$9,10),INDEX($E$17:$N$66,$C$9,1)+INDEX($E$17:$N$66,$C$9,10)),"-"))</f>
        <v>-</v>
      </c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</row>
    <row r="10" spans="1:27" s="1" customFormat="1" ht="10.5" customHeight="1" thickBot="1">
      <c r="A10" s="176"/>
      <c r="B10" s="176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</row>
    <row r="11" spans="1:27" s="1" customFormat="1" ht="12.75" customHeight="1" hidden="1">
      <c r="A11" s="174"/>
      <c r="B11" s="174"/>
      <c r="C11" s="174"/>
      <c r="D11" s="184" t="s">
        <v>313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3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</row>
    <row r="12" spans="1:27" s="1" customFormat="1" ht="12.75" customHeight="1" hidden="1">
      <c r="A12" s="174"/>
      <c r="B12" s="174"/>
      <c r="C12" s="174"/>
      <c r="D12" s="184" t="s">
        <v>175</v>
      </c>
      <c r="E12" s="174"/>
      <c r="F12" s="174">
        <f>AUXILIAR!A25</f>
        <v>20</v>
      </c>
      <c r="G12" s="174">
        <f>AUXILIAR!B25</f>
        <v>1</v>
      </c>
      <c r="H12" s="174">
        <f>AUXILIAR!C25</f>
        <v>2009</v>
      </c>
      <c r="I12" s="185"/>
      <c r="J12" s="187" t="s">
        <v>312</v>
      </c>
      <c r="K12" s="188">
        <f>IF(H12&lt;2008,0,IF(H12&gt;2008,1,IF(H12=2008,IF(G12&gt;4,1,IF(G12=4,IF(F12&gt;29,1,0),0)))))</f>
        <v>1</v>
      </c>
      <c r="L12" s="174"/>
      <c r="M12" s="174"/>
      <c r="N12" s="173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</row>
    <row r="13" spans="1:27" s="1" customFormat="1" ht="15">
      <c r="A13" s="72"/>
      <c r="B13" s="321"/>
      <c r="C13" s="72"/>
      <c r="D13" s="322"/>
      <c r="E13" s="72"/>
      <c r="F13" s="72"/>
      <c r="G13" s="72"/>
      <c r="H13" s="72"/>
      <c r="I13" s="72"/>
      <c r="J13" s="72"/>
      <c r="K13" s="72"/>
      <c r="L13" s="72"/>
      <c r="M13" s="72"/>
      <c r="N13" s="75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</row>
    <row r="14" spans="1:27" s="1" customFormat="1" ht="15.75" customHeight="1">
      <c r="A14" s="633" t="s">
        <v>347</v>
      </c>
      <c r="B14" s="633"/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</row>
    <row r="15" spans="1:27" s="1" customFormat="1" ht="11.25" customHeight="1">
      <c r="A15" s="323"/>
      <c r="B15" s="324"/>
      <c r="C15" s="324"/>
      <c r="D15" s="324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</row>
    <row r="16" spans="1:27" s="1" customFormat="1" ht="13.5">
      <c r="A16" s="325" t="s">
        <v>11</v>
      </c>
      <c r="B16" s="632" t="s">
        <v>12</v>
      </c>
      <c r="C16" s="632"/>
      <c r="D16" s="632"/>
      <c r="E16" s="325" t="s">
        <v>13</v>
      </c>
      <c r="F16" s="325" t="s">
        <v>14</v>
      </c>
      <c r="G16" s="325" t="s">
        <v>15</v>
      </c>
      <c r="H16" s="325" t="s">
        <v>16</v>
      </c>
      <c r="I16" s="325" t="s">
        <v>17</v>
      </c>
      <c r="J16" s="325" t="s">
        <v>18</v>
      </c>
      <c r="K16" s="325" t="s">
        <v>19</v>
      </c>
      <c r="L16" s="325" t="s">
        <v>20</v>
      </c>
      <c r="M16" s="325" t="s">
        <v>21</v>
      </c>
      <c r="N16" s="325" t="s">
        <v>22</v>
      </c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7" s="2" customFormat="1" ht="12.75">
      <c r="A17" s="326">
        <v>1</v>
      </c>
      <c r="B17" s="625" t="s">
        <v>23</v>
      </c>
      <c r="C17" s="625"/>
      <c r="D17" s="625"/>
      <c r="E17" s="327">
        <f>0.34</f>
        <v>0.34</v>
      </c>
      <c r="F17" s="327">
        <f>0.26</f>
        <v>0.26</v>
      </c>
      <c r="G17" s="327">
        <f>0.05</f>
        <v>0.05</v>
      </c>
      <c r="H17" s="327">
        <f>0.18</f>
        <v>0.18</v>
      </c>
      <c r="I17" s="327">
        <f>0.02</f>
        <v>0.02</v>
      </c>
      <c r="J17" s="327">
        <v>0</v>
      </c>
      <c r="K17" s="327">
        <f>0</f>
        <v>0</v>
      </c>
      <c r="L17" s="327">
        <v>0</v>
      </c>
      <c r="M17" s="327">
        <v>0</v>
      </c>
      <c r="N17" s="326">
        <f aca="true" t="shared" si="0" ref="N17:N64">0.15</f>
        <v>0.15</v>
      </c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</row>
    <row r="18" spans="1:27" s="1" customFormat="1" ht="12.75">
      <c r="A18" s="326">
        <v>2</v>
      </c>
      <c r="B18" s="625" t="s">
        <v>24</v>
      </c>
      <c r="C18" s="625"/>
      <c r="D18" s="625"/>
      <c r="E18" s="327">
        <v>0.31</v>
      </c>
      <c r="F18" s="327">
        <v>0.37</v>
      </c>
      <c r="G18" s="327">
        <v>0</v>
      </c>
      <c r="H18" s="327">
        <v>0.17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6">
        <f t="shared" si="0"/>
        <v>0.15</v>
      </c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</row>
    <row r="19" spans="1:27" s="1" customFormat="1" ht="12.75">
      <c r="A19" s="326">
        <v>3</v>
      </c>
      <c r="B19" s="625" t="s">
        <v>79</v>
      </c>
      <c r="C19" s="625"/>
      <c r="D19" s="625"/>
      <c r="E19" s="327">
        <v>0.32</v>
      </c>
      <c r="F19" s="327">
        <v>0.15</v>
      </c>
      <c r="G19" s="327">
        <v>0.17</v>
      </c>
      <c r="H19" s="327">
        <v>0.13</v>
      </c>
      <c r="I19" s="327">
        <v>0</v>
      </c>
      <c r="J19" s="327">
        <v>0</v>
      </c>
      <c r="K19" s="327">
        <v>0.08</v>
      </c>
      <c r="L19" s="327">
        <v>0</v>
      </c>
      <c r="M19" s="327">
        <v>0</v>
      </c>
      <c r="N19" s="326">
        <f t="shared" si="0"/>
        <v>0.15</v>
      </c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</row>
    <row r="20" spans="1:27" s="1" customFormat="1" ht="12.75">
      <c r="A20" s="326">
        <v>4</v>
      </c>
      <c r="B20" s="625" t="s">
        <v>25</v>
      </c>
      <c r="C20" s="625"/>
      <c r="D20" s="625"/>
      <c r="E20" s="327">
        <v>0.34</v>
      </c>
      <c r="F20" s="327">
        <v>0.18</v>
      </c>
      <c r="G20" s="327">
        <v>0.18</v>
      </c>
      <c r="H20" s="327">
        <v>0.13</v>
      </c>
      <c r="I20" s="327">
        <v>0</v>
      </c>
      <c r="J20" s="327">
        <v>0</v>
      </c>
      <c r="K20" s="327">
        <v>0.02</v>
      </c>
      <c r="L20" s="327">
        <v>0</v>
      </c>
      <c r="M20" s="327">
        <v>0</v>
      </c>
      <c r="N20" s="326">
        <f t="shared" si="0"/>
        <v>0.15</v>
      </c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</row>
    <row r="21" spans="1:27" s="1" customFormat="1" ht="12.75">
      <c r="A21" s="326">
        <v>5</v>
      </c>
      <c r="B21" s="625" t="s">
        <v>26</v>
      </c>
      <c r="C21" s="625"/>
      <c r="D21" s="625"/>
      <c r="E21" s="327">
        <v>0.31</v>
      </c>
      <c r="F21" s="327">
        <v>0.25</v>
      </c>
      <c r="G21" s="327">
        <v>0</v>
      </c>
      <c r="H21" s="327">
        <v>0.13</v>
      </c>
      <c r="I21" s="327">
        <v>0.16</v>
      </c>
      <c r="J21" s="327">
        <v>0</v>
      </c>
      <c r="K21" s="327">
        <f>0</f>
        <v>0</v>
      </c>
      <c r="L21" s="327">
        <v>0</v>
      </c>
      <c r="M21" s="327">
        <v>0</v>
      </c>
      <c r="N21" s="326">
        <f t="shared" si="0"/>
        <v>0.15</v>
      </c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  <row r="22" spans="1:27" s="1" customFormat="1" ht="12.75">
      <c r="A22" s="326">
        <v>6</v>
      </c>
      <c r="B22" s="625" t="s">
        <v>80</v>
      </c>
      <c r="C22" s="625"/>
      <c r="D22" s="625"/>
      <c r="E22" s="327">
        <v>0.38</v>
      </c>
      <c r="F22" s="327">
        <v>0.25</v>
      </c>
      <c r="G22" s="327">
        <v>0.15</v>
      </c>
      <c r="H22" s="327">
        <v>0.07</v>
      </c>
      <c r="I22" s="327">
        <v>0</v>
      </c>
      <c r="J22" s="327">
        <v>0</v>
      </c>
      <c r="K22" s="327">
        <v>0</v>
      </c>
      <c r="L22" s="327">
        <v>0</v>
      </c>
      <c r="M22" s="327">
        <v>0</v>
      </c>
      <c r="N22" s="326">
        <f t="shared" si="0"/>
        <v>0.15</v>
      </c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1:27" s="1" customFormat="1" ht="12.75">
      <c r="A23" s="326">
        <v>7</v>
      </c>
      <c r="B23" s="625" t="s">
        <v>81</v>
      </c>
      <c r="C23" s="625"/>
      <c r="D23" s="625"/>
      <c r="E23" s="327">
        <v>0.34</v>
      </c>
      <c r="F23" s="327">
        <v>0.29</v>
      </c>
      <c r="G23" s="327">
        <v>0.22</v>
      </c>
      <c r="H23" s="327">
        <v>0</v>
      </c>
      <c r="I23" s="327">
        <v>0</v>
      </c>
      <c r="J23" s="327">
        <v>0</v>
      </c>
      <c r="K23" s="327">
        <v>0</v>
      </c>
      <c r="L23" s="327">
        <v>0</v>
      </c>
      <c r="M23" s="327">
        <v>0</v>
      </c>
      <c r="N23" s="326">
        <f t="shared" si="0"/>
        <v>0.15</v>
      </c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1:27" s="1" customFormat="1" ht="12.75">
      <c r="A24" s="326">
        <v>8</v>
      </c>
      <c r="B24" s="625" t="s">
        <v>82</v>
      </c>
      <c r="C24" s="625"/>
      <c r="D24" s="625"/>
      <c r="E24" s="327">
        <v>0.34</v>
      </c>
      <c r="F24" s="327">
        <v>0.29</v>
      </c>
      <c r="G24" s="327">
        <v>0</v>
      </c>
      <c r="H24" s="327">
        <v>0</v>
      </c>
      <c r="I24" s="327">
        <v>0.22</v>
      </c>
      <c r="J24" s="327">
        <v>0</v>
      </c>
      <c r="K24" s="327">
        <v>0</v>
      </c>
      <c r="L24" s="327">
        <v>0</v>
      </c>
      <c r="M24" s="327">
        <v>0</v>
      </c>
      <c r="N24" s="326">
        <f t="shared" si="0"/>
        <v>0.15</v>
      </c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</row>
    <row r="25" spans="1:27" s="1" customFormat="1" ht="12.75">
      <c r="A25" s="326">
        <v>9</v>
      </c>
      <c r="B25" s="625" t="s">
        <v>27</v>
      </c>
      <c r="C25" s="625"/>
      <c r="D25" s="625"/>
      <c r="E25" s="327">
        <v>0.33</v>
      </c>
      <c r="F25" s="327">
        <v>0.16</v>
      </c>
      <c r="G25" s="327">
        <v>0.2</v>
      </c>
      <c r="H25" s="327">
        <v>0.16</v>
      </c>
      <c r="I25" s="327">
        <v>0</v>
      </c>
      <c r="J25" s="327">
        <v>0</v>
      </c>
      <c r="K25" s="327">
        <f>0</f>
        <v>0</v>
      </c>
      <c r="L25" s="327">
        <v>0</v>
      </c>
      <c r="M25" s="327">
        <v>0</v>
      </c>
      <c r="N25" s="326">
        <f t="shared" si="0"/>
        <v>0.15</v>
      </c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</row>
    <row r="26" spans="1:27" s="1" customFormat="1" ht="12.75">
      <c r="A26" s="326">
        <v>10</v>
      </c>
      <c r="B26" s="625" t="s">
        <v>83</v>
      </c>
      <c r="C26" s="625"/>
      <c r="D26" s="625"/>
      <c r="E26" s="327">
        <v>0.27</v>
      </c>
      <c r="F26" s="327">
        <v>0.21</v>
      </c>
      <c r="G26" s="327">
        <v>0.12</v>
      </c>
      <c r="H26" s="327">
        <v>0.25</v>
      </c>
      <c r="I26" s="327">
        <v>0</v>
      </c>
      <c r="J26" s="327">
        <v>0</v>
      </c>
      <c r="K26" s="327">
        <v>0</v>
      </c>
      <c r="L26" s="327">
        <v>0</v>
      </c>
      <c r="M26" s="327">
        <v>0</v>
      </c>
      <c r="N26" s="326">
        <f t="shared" si="0"/>
        <v>0.15</v>
      </c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</row>
    <row r="27" spans="1:27" s="1" customFormat="1" ht="12.75">
      <c r="A27" s="326">
        <v>11</v>
      </c>
      <c r="B27" s="625" t="s">
        <v>84</v>
      </c>
      <c r="C27" s="625"/>
      <c r="D27" s="625"/>
      <c r="E27" s="327">
        <v>0.28</v>
      </c>
      <c r="F27" s="327">
        <v>0.11</v>
      </c>
      <c r="G27" s="327">
        <v>0.32</v>
      </c>
      <c r="H27" s="327">
        <v>0.14</v>
      </c>
      <c r="I27" s="327">
        <v>0</v>
      </c>
      <c r="J27" s="327">
        <v>0</v>
      </c>
      <c r="K27" s="327">
        <v>0</v>
      </c>
      <c r="L27" s="327">
        <v>0</v>
      </c>
      <c r="M27" s="327">
        <v>0</v>
      </c>
      <c r="N27" s="326">
        <f t="shared" si="0"/>
        <v>0.15</v>
      </c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</row>
    <row r="28" spans="1:27" s="1" customFormat="1" ht="12.75">
      <c r="A28" s="326">
        <v>12</v>
      </c>
      <c r="B28" s="625" t="s">
        <v>28</v>
      </c>
      <c r="C28" s="625"/>
      <c r="D28" s="625"/>
      <c r="E28" s="327">
        <v>0.3</v>
      </c>
      <c r="F28" s="327">
        <v>0.08</v>
      </c>
      <c r="G28" s="327">
        <v>0.13</v>
      </c>
      <c r="H28" s="327">
        <v>0.34</v>
      </c>
      <c r="I28" s="327">
        <v>0</v>
      </c>
      <c r="J28" s="327">
        <v>0</v>
      </c>
      <c r="K28" s="327">
        <f>0</f>
        <v>0</v>
      </c>
      <c r="L28" s="327">
        <v>0</v>
      </c>
      <c r="M28" s="327">
        <v>0</v>
      </c>
      <c r="N28" s="326">
        <f t="shared" si="0"/>
        <v>0.15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</row>
    <row r="29" spans="1:27" s="1" customFormat="1" ht="12.75">
      <c r="A29" s="326">
        <v>13</v>
      </c>
      <c r="B29" s="625" t="s">
        <v>29</v>
      </c>
      <c r="C29" s="625"/>
      <c r="D29" s="625"/>
      <c r="E29" s="327">
        <v>0.25</v>
      </c>
      <c r="F29" s="327">
        <v>0.09</v>
      </c>
      <c r="G29" s="327">
        <f>0.05</f>
        <v>0.05</v>
      </c>
      <c r="H29" s="327">
        <v>0.46</v>
      </c>
      <c r="I29" s="327">
        <v>0</v>
      </c>
      <c r="J29" s="327">
        <v>0</v>
      </c>
      <c r="K29" s="327">
        <f>0</f>
        <v>0</v>
      </c>
      <c r="L29" s="327">
        <v>0</v>
      </c>
      <c r="M29" s="327">
        <v>0</v>
      </c>
      <c r="N29" s="326">
        <f t="shared" si="0"/>
        <v>0.15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</row>
    <row r="30" spans="1:27" s="1" customFormat="1" ht="12.75">
      <c r="A30" s="326">
        <v>14</v>
      </c>
      <c r="B30" s="625" t="s">
        <v>85</v>
      </c>
      <c r="C30" s="625"/>
      <c r="D30" s="625"/>
      <c r="E30" s="327">
        <v>0.34</v>
      </c>
      <c r="F30" s="327">
        <v>0.33</v>
      </c>
      <c r="G30" s="327">
        <v>0</v>
      </c>
      <c r="H30" s="327">
        <v>0.18</v>
      </c>
      <c r="I30" s="327">
        <v>0</v>
      </c>
      <c r="J30" s="327">
        <v>0</v>
      </c>
      <c r="K30" s="327">
        <v>0</v>
      </c>
      <c r="L30" s="327">
        <v>0</v>
      </c>
      <c r="M30" s="327">
        <v>0</v>
      </c>
      <c r="N30" s="326">
        <f t="shared" si="0"/>
        <v>0.15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</row>
    <row r="31" spans="1:27" s="1" customFormat="1" ht="12.75">
      <c r="A31" s="326">
        <v>15</v>
      </c>
      <c r="B31" s="625" t="s">
        <v>86</v>
      </c>
      <c r="C31" s="625"/>
      <c r="D31" s="625"/>
      <c r="E31" s="327">
        <v>0.28</v>
      </c>
      <c r="F31" s="327">
        <v>0.11</v>
      </c>
      <c r="G31" s="327">
        <v>0.07</v>
      </c>
      <c r="H31" s="327">
        <v>0.39</v>
      </c>
      <c r="I31" s="327">
        <v>0</v>
      </c>
      <c r="J31" s="327">
        <v>0</v>
      </c>
      <c r="K31" s="327">
        <v>0</v>
      </c>
      <c r="L31" s="327">
        <v>0</v>
      </c>
      <c r="M31" s="327">
        <v>0</v>
      </c>
      <c r="N31" s="326">
        <f t="shared" si="0"/>
        <v>0.15</v>
      </c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</row>
    <row r="32" spans="1:27" s="1" customFormat="1" ht="12.75">
      <c r="A32" s="326">
        <v>16</v>
      </c>
      <c r="B32" s="625" t="s">
        <v>87</v>
      </c>
      <c r="C32" s="625"/>
      <c r="D32" s="625"/>
      <c r="E32" s="327">
        <v>0.37</v>
      </c>
      <c r="F32" s="327">
        <v>0.07</v>
      </c>
      <c r="G32" s="327">
        <v>0.1</v>
      </c>
      <c r="H32" s="327">
        <v>0.09</v>
      </c>
      <c r="I32" s="327">
        <v>0</v>
      </c>
      <c r="J32" s="327">
        <v>0.16</v>
      </c>
      <c r="K32" s="327">
        <v>0.06</v>
      </c>
      <c r="L32" s="327">
        <v>0</v>
      </c>
      <c r="M32" s="327">
        <v>0</v>
      </c>
      <c r="N32" s="326">
        <f t="shared" si="0"/>
        <v>0.15</v>
      </c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7" s="1" customFormat="1" ht="12.75">
      <c r="A33" s="326">
        <v>17</v>
      </c>
      <c r="B33" s="625" t="s">
        <v>88</v>
      </c>
      <c r="C33" s="625"/>
      <c r="D33" s="625"/>
      <c r="E33" s="327">
        <v>0.35</v>
      </c>
      <c r="F33" s="327">
        <v>0.09</v>
      </c>
      <c r="G33" s="327">
        <v>0.08</v>
      </c>
      <c r="H33" s="327">
        <v>0.15</v>
      </c>
      <c r="I33" s="327">
        <v>0</v>
      </c>
      <c r="J33" s="327">
        <v>0.12</v>
      </c>
      <c r="K33" s="327">
        <v>0.06</v>
      </c>
      <c r="L33" s="327">
        <v>0</v>
      </c>
      <c r="M33" s="327">
        <v>0</v>
      </c>
      <c r="N33" s="326">
        <f t="shared" si="0"/>
        <v>0.15</v>
      </c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</row>
    <row r="34" spans="1:27" s="1" customFormat="1" ht="12.75">
      <c r="A34" s="326">
        <v>18</v>
      </c>
      <c r="B34" s="625" t="s">
        <v>89</v>
      </c>
      <c r="C34" s="625"/>
      <c r="D34" s="625"/>
      <c r="E34" s="327">
        <v>0.36</v>
      </c>
      <c r="F34" s="327">
        <v>0.08</v>
      </c>
      <c r="G34" s="327">
        <v>0.12</v>
      </c>
      <c r="H34" s="327">
        <v>0.12</v>
      </c>
      <c r="I34" s="327">
        <v>0</v>
      </c>
      <c r="J34" s="327">
        <v>0.1</v>
      </c>
      <c r="K34" s="327">
        <v>0.07</v>
      </c>
      <c r="L34" s="327">
        <v>0</v>
      </c>
      <c r="M34" s="327">
        <v>0</v>
      </c>
      <c r="N34" s="326">
        <f t="shared" si="0"/>
        <v>0.15</v>
      </c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</row>
    <row r="35" spans="1:27" s="1" customFormat="1" ht="12.75">
      <c r="A35" s="326">
        <v>19</v>
      </c>
      <c r="B35" s="625" t="s">
        <v>90</v>
      </c>
      <c r="C35" s="625"/>
      <c r="D35" s="625"/>
      <c r="E35" s="327">
        <v>0.34</v>
      </c>
      <c r="F35" s="327">
        <v>0.1</v>
      </c>
      <c r="G35" s="327">
        <v>0.1</v>
      </c>
      <c r="H35" s="327">
        <v>0.17</v>
      </c>
      <c r="I35" s="327">
        <v>0</v>
      </c>
      <c r="J35" s="327">
        <v>0.08</v>
      </c>
      <c r="K35" s="327">
        <v>0.06</v>
      </c>
      <c r="L35" s="327">
        <v>0</v>
      </c>
      <c r="M35" s="327">
        <v>0</v>
      </c>
      <c r="N35" s="326">
        <f t="shared" si="0"/>
        <v>0.15</v>
      </c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</row>
    <row r="36" spans="1:27" s="1" customFormat="1" ht="12.75">
      <c r="A36" s="326">
        <v>20</v>
      </c>
      <c r="B36" s="625" t="s">
        <v>91</v>
      </c>
      <c r="C36" s="625"/>
      <c r="D36" s="625"/>
      <c r="E36" s="327">
        <v>0.35</v>
      </c>
      <c r="F36" s="327">
        <v>0.09</v>
      </c>
      <c r="G36" s="327">
        <v>0.07</v>
      </c>
      <c r="H36" s="327">
        <v>0.19</v>
      </c>
      <c r="I36" s="327">
        <v>0</v>
      </c>
      <c r="J36" s="327">
        <v>0.09</v>
      </c>
      <c r="K36" s="327">
        <v>0.06</v>
      </c>
      <c r="L36" s="327">
        <v>0</v>
      </c>
      <c r="M36" s="327">
        <v>0</v>
      </c>
      <c r="N36" s="326">
        <f t="shared" si="0"/>
        <v>0.15</v>
      </c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</row>
    <row r="37" spans="1:27" s="1" customFormat="1" ht="12.75">
      <c r="A37" s="326">
        <v>21</v>
      </c>
      <c r="B37" s="625" t="s">
        <v>92</v>
      </c>
      <c r="C37" s="625"/>
      <c r="D37" s="625"/>
      <c r="E37" s="327">
        <v>0.33</v>
      </c>
      <c r="F37" s="327">
        <v>0.11</v>
      </c>
      <c r="G37" s="327">
        <v>0.06</v>
      </c>
      <c r="H37" s="327">
        <v>0.23</v>
      </c>
      <c r="I37" s="327">
        <v>0</v>
      </c>
      <c r="J37" s="327">
        <v>0.07</v>
      </c>
      <c r="K37" s="327">
        <v>0.05</v>
      </c>
      <c r="L37" s="327">
        <v>0</v>
      </c>
      <c r="M37" s="327">
        <v>0</v>
      </c>
      <c r="N37" s="326">
        <f t="shared" si="0"/>
        <v>0.15</v>
      </c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</row>
    <row r="38" spans="1:27" s="1" customFormat="1" ht="12.75">
      <c r="A38" s="326">
        <v>22</v>
      </c>
      <c r="B38" s="625" t="s">
        <v>93</v>
      </c>
      <c r="C38" s="625"/>
      <c r="D38" s="625"/>
      <c r="E38" s="327">
        <v>0.35</v>
      </c>
      <c r="F38" s="327">
        <v>0.08</v>
      </c>
      <c r="G38" s="327">
        <v>0.09</v>
      </c>
      <c r="H38" s="327">
        <v>0.17</v>
      </c>
      <c r="I38" s="327">
        <v>0</v>
      </c>
      <c r="J38" s="327">
        <v>0.1</v>
      </c>
      <c r="K38" s="327">
        <v>0.06</v>
      </c>
      <c r="L38" s="327">
        <v>0</v>
      </c>
      <c r="M38" s="327">
        <v>0</v>
      </c>
      <c r="N38" s="326">
        <f t="shared" si="0"/>
        <v>0.15</v>
      </c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</row>
    <row r="39" spans="1:27" s="1" customFormat="1" ht="12.75">
      <c r="A39" s="326">
        <v>23</v>
      </c>
      <c r="B39" s="625" t="s">
        <v>94</v>
      </c>
      <c r="C39" s="625"/>
      <c r="D39" s="625"/>
      <c r="E39" s="327">
        <v>0.33</v>
      </c>
      <c r="F39" s="327">
        <v>0.1</v>
      </c>
      <c r="G39" s="327">
        <v>0.08</v>
      </c>
      <c r="H39" s="327">
        <v>0.22</v>
      </c>
      <c r="I39" s="327">
        <v>0</v>
      </c>
      <c r="J39" s="327">
        <v>0.07</v>
      </c>
      <c r="K39" s="327">
        <v>0.05</v>
      </c>
      <c r="L39" s="327">
        <v>0</v>
      </c>
      <c r="M39" s="327">
        <v>0</v>
      </c>
      <c r="N39" s="326">
        <f t="shared" si="0"/>
        <v>0.15</v>
      </c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</row>
    <row r="40" spans="1:27" s="1" customFormat="1" ht="12.75">
      <c r="A40" s="326">
        <v>24</v>
      </c>
      <c r="B40" s="625" t="s">
        <v>95</v>
      </c>
      <c r="C40" s="625"/>
      <c r="D40" s="625"/>
      <c r="E40" s="327">
        <v>0.47</v>
      </c>
      <c r="F40" s="327">
        <v>0.28</v>
      </c>
      <c r="G40" s="327">
        <v>0</v>
      </c>
      <c r="H40" s="327">
        <v>0</v>
      </c>
      <c r="I40" s="327">
        <v>0</v>
      </c>
      <c r="J40" s="327">
        <v>0.05</v>
      </c>
      <c r="K40" s="327">
        <v>0.05</v>
      </c>
      <c r="L40" s="327">
        <v>0</v>
      </c>
      <c r="M40" s="327">
        <v>0</v>
      </c>
      <c r="N40" s="326">
        <f t="shared" si="0"/>
        <v>0.15</v>
      </c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</row>
    <row r="41" spans="1:27" s="1" customFormat="1" ht="12.75">
      <c r="A41" s="326">
        <v>25</v>
      </c>
      <c r="B41" s="625" t="s">
        <v>96</v>
      </c>
      <c r="C41" s="625"/>
      <c r="D41" s="625"/>
      <c r="E41" s="327">
        <v>0.27</v>
      </c>
      <c r="F41" s="327">
        <v>0</v>
      </c>
      <c r="G41" s="327">
        <v>0.05</v>
      </c>
      <c r="H41" s="327">
        <v>0.38</v>
      </c>
      <c r="I41" s="327">
        <v>0</v>
      </c>
      <c r="J41" s="327">
        <v>0</v>
      </c>
      <c r="K41" s="327">
        <v>0</v>
      </c>
      <c r="L41" s="327">
        <v>0.15</v>
      </c>
      <c r="M41" s="327">
        <v>0</v>
      </c>
      <c r="N41" s="326">
        <f t="shared" si="0"/>
        <v>0.15</v>
      </c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</row>
    <row r="42" spans="1:27" s="1" customFormat="1" ht="12.75">
      <c r="A42" s="326">
        <v>26</v>
      </c>
      <c r="B42" s="625" t="s">
        <v>97</v>
      </c>
      <c r="C42" s="625"/>
      <c r="D42" s="625"/>
      <c r="E42" s="327">
        <v>0.3</v>
      </c>
      <c r="F42" s="327">
        <v>0</v>
      </c>
      <c r="G42" s="327">
        <v>0.02</v>
      </c>
      <c r="H42" s="327">
        <v>0.23</v>
      </c>
      <c r="I42" s="327">
        <v>0</v>
      </c>
      <c r="J42" s="327">
        <v>0</v>
      </c>
      <c r="K42" s="327">
        <v>0</v>
      </c>
      <c r="L42" s="327">
        <v>0</v>
      </c>
      <c r="M42" s="327">
        <v>0.3</v>
      </c>
      <c r="N42" s="326">
        <f t="shared" si="0"/>
        <v>0.15</v>
      </c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spans="1:27" s="1" customFormat="1" ht="12.75">
      <c r="A43" s="326">
        <v>27</v>
      </c>
      <c r="B43" s="625" t="s">
        <v>98</v>
      </c>
      <c r="C43" s="625"/>
      <c r="D43" s="625"/>
      <c r="E43" s="327">
        <v>0.29</v>
      </c>
      <c r="F43" s="327">
        <v>0</v>
      </c>
      <c r="G43" s="327">
        <v>0.09</v>
      </c>
      <c r="H43" s="327">
        <v>0.25</v>
      </c>
      <c r="I43" s="327">
        <v>0</v>
      </c>
      <c r="J43" s="327">
        <v>0</v>
      </c>
      <c r="K43" s="327">
        <v>0</v>
      </c>
      <c r="L43" s="327">
        <v>0</v>
      </c>
      <c r="M43" s="327">
        <v>0.22</v>
      </c>
      <c r="N43" s="326">
        <f t="shared" si="0"/>
        <v>0.15</v>
      </c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</row>
    <row r="44" spans="1:27" s="1" customFormat="1" ht="12.75">
      <c r="A44" s="326">
        <v>28</v>
      </c>
      <c r="B44" s="625" t="s">
        <v>99</v>
      </c>
      <c r="C44" s="625"/>
      <c r="D44" s="625"/>
      <c r="E44" s="327">
        <v>0.25</v>
      </c>
      <c r="F44" s="327">
        <v>0</v>
      </c>
      <c r="G44" s="327">
        <v>0.04</v>
      </c>
      <c r="H44" s="327">
        <v>0.17</v>
      </c>
      <c r="I44" s="327">
        <v>0</v>
      </c>
      <c r="J44" s="327">
        <v>0</v>
      </c>
      <c r="K44" s="327">
        <v>0.06</v>
      </c>
      <c r="L44" s="327">
        <v>0</v>
      </c>
      <c r="M44" s="327">
        <v>0.33</v>
      </c>
      <c r="N44" s="326">
        <f t="shared" si="0"/>
        <v>0.15</v>
      </c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45" spans="1:27" s="1" customFormat="1" ht="12.75">
      <c r="A45" s="326">
        <v>29</v>
      </c>
      <c r="B45" s="625" t="s">
        <v>100</v>
      </c>
      <c r="C45" s="625"/>
      <c r="D45" s="625"/>
      <c r="E45" s="327">
        <v>0.24</v>
      </c>
      <c r="F45" s="327">
        <v>0</v>
      </c>
      <c r="G45" s="327">
        <v>0.12</v>
      </c>
      <c r="H45" s="327">
        <v>0.09</v>
      </c>
      <c r="I45" s="327">
        <v>0</v>
      </c>
      <c r="J45" s="327">
        <v>0</v>
      </c>
      <c r="K45" s="327">
        <v>0</v>
      </c>
      <c r="L45" s="327">
        <v>0</v>
      </c>
      <c r="M45" s="327">
        <v>0.4</v>
      </c>
      <c r="N45" s="326">
        <f t="shared" si="0"/>
        <v>0.15</v>
      </c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</row>
    <row r="46" spans="1:27" s="1" customFormat="1" ht="12.75">
      <c r="A46" s="326">
        <v>30</v>
      </c>
      <c r="B46" s="625" t="s">
        <v>103</v>
      </c>
      <c r="C46" s="625"/>
      <c r="D46" s="625"/>
      <c r="E46" s="327">
        <v>0.26</v>
      </c>
      <c r="F46" s="327">
        <v>0.11</v>
      </c>
      <c r="G46" s="327">
        <v>0</v>
      </c>
      <c r="H46" s="327">
        <v>0.26</v>
      </c>
      <c r="I46" s="327">
        <v>0</v>
      </c>
      <c r="J46" s="327">
        <v>0</v>
      </c>
      <c r="K46" s="327">
        <v>0.02</v>
      </c>
      <c r="L46" s="327">
        <v>0</v>
      </c>
      <c r="M46" s="327">
        <v>0.2</v>
      </c>
      <c r="N46" s="326">
        <f t="shared" si="0"/>
        <v>0.15</v>
      </c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</row>
    <row r="47" spans="1:27" s="1" customFormat="1" ht="12.75">
      <c r="A47" s="326">
        <v>31</v>
      </c>
      <c r="B47" s="625" t="s">
        <v>102</v>
      </c>
      <c r="C47" s="625"/>
      <c r="D47" s="625"/>
      <c r="E47" s="327">
        <v>0.23</v>
      </c>
      <c r="F47" s="327">
        <v>0.15</v>
      </c>
      <c r="G47" s="327">
        <v>0</v>
      </c>
      <c r="H47" s="327">
        <v>0.1</v>
      </c>
      <c r="I47" s="327">
        <v>0</v>
      </c>
      <c r="J47" s="327">
        <v>0</v>
      </c>
      <c r="K47" s="327">
        <v>0.12</v>
      </c>
      <c r="L47" s="327">
        <v>0.15</v>
      </c>
      <c r="M47" s="327">
        <v>0.1</v>
      </c>
      <c r="N47" s="326">
        <f t="shared" si="0"/>
        <v>0.15</v>
      </c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</row>
    <row r="48" spans="1:27" s="1" customFormat="1" ht="12.75">
      <c r="A48" s="326">
        <v>32</v>
      </c>
      <c r="B48" s="625" t="s">
        <v>101</v>
      </c>
      <c r="C48" s="625"/>
      <c r="D48" s="625"/>
      <c r="E48" s="327">
        <v>0.2</v>
      </c>
      <c r="F48" s="327">
        <v>0.12</v>
      </c>
      <c r="G48" s="327">
        <v>0</v>
      </c>
      <c r="H48" s="327">
        <v>0.2</v>
      </c>
      <c r="I48" s="327">
        <v>0</v>
      </c>
      <c r="J48" s="327">
        <v>0</v>
      </c>
      <c r="K48" s="327">
        <v>0</v>
      </c>
      <c r="L48" s="327">
        <v>0</v>
      </c>
      <c r="M48" s="327">
        <v>0.33</v>
      </c>
      <c r="N48" s="326">
        <f t="shared" si="0"/>
        <v>0.15</v>
      </c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</row>
    <row r="49" spans="1:27" s="1" customFormat="1" ht="12.75">
      <c r="A49" s="326">
        <v>33</v>
      </c>
      <c r="B49" s="625" t="s">
        <v>105</v>
      </c>
      <c r="C49" s="625"/>
      <c r="D49" s="625"/>
      <c r="E49" s="327">
        <v>0.24</v>
      </c>
      <c r="F49" s="327">
        <v>0.1</v>
      </c>
      <c r="G49" s="327">
        <v>0</v>
      </c>
      <c r="H49" s="327">
        <v>0.4</v>
      </c>
      <c r="I49" s="327">
        <v>0</v>
      </c>
      <c r="J49" s="327">
        <v>0</v>
      </c>
      <c r="K49" s="327">
        <v>0.01</v>
      </c>
      <c r="L49" s="327">
        <v>0.02</v>
      </c>
      <c r="M49" s="327">
        <v>0.08</v>
      </c>
      <c r="N49" s="326">
        <f t="shared" si="0"/>
        <v>0.15</v>
      </c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</row>
    <row r="50" spans="1:27" s="1" customFormat="1" ht="12.75">
      <c r="A50" s="326">
        <v>34</v>
      </c>
      <c r="B50" s="625" t="s">
        <v>104</v>
      </c>
      <c r="C50" s="625"/>
      <c r="D50" s="625"/>
      <c r="E50" s="327">
        <v>0.25</v>
      </c>
      <c r="F50" s="327">
        <v>0.11</v>
      </c>
      <c r="G50" s="327">
        <v>0</v>
      </c>
      <c r="H50" s="327">
        <v>0.36</v>
      </c>
      <c r="I50" s="327">
        <v>0</v>
      </c>
      <c r="J50" s="327">
        <v>0</v>
      </c>
      <c r="K50" s="327">
        <v>0</v>
      </c>
      <c r="L50" s="327">
        <v>0</v>
      </c>
      <c r="M50" s="327">
        <v>0.13</v>
      </c>
      <c r="N50" s="326">
        <f t="shared" si="0"/>
        <v>0.15</v>
      </c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</row>
    <row r="51" spans="1:27" s="1" customFormat="1" ht="12.75">
      <c r="A51" s="326">
        <v>35</v>
      </c>
      <c r="B51" s="625" t="s">
        <v>106</v>
      </c>
      <c r="C51" s="625"/>
      <c r="D51" s="625"/>
      <c r="E51" s="327">
        <v>0.27</v>
      </c>
      <c r="F51" s="327">
        <v>0.06</v>
      </c>
      <c r="G51" s="327">
        <v>0</v>
      </c>
      <c r="H51" s="327">
        <v>0.37</v>
      </c>
      <c r="I51" s="327">
        <v>0</v>
      </c>
      <c r="J51" s="327">
        <v>0</v>
      </c>
      <c r="K51" s="327">
        <v>0</v>
      </c>
      <c r="L51" s="327">
        <v>0</v>
      </c>
      <c r="M51" s="327">
        <v>0.15</v>
      </c>
      <c r="N51" s="326">
        <f t="shared" si="0"/>
        <v>0.15</v>
      </c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</row>
    <row r="52" spans="1:27" s="1" customFormat="1" ht="12.75">
      <c r="A52" s="326">
        <v>36</v>
      </c>
      <c r="B52" s="625" t="s">
        <v>107</v>
      </c>
      <c r="C52" s="625"/>
      <c r="D52" s="625"/>
      <c r="E52" s="327">
        <v>0.22</v>
      </c>
      <c r="F52" s="327">
        <v>0.06</v>
      </c>
      <c r="G52" s="327">
        <v>0</v>
      </c>
      <c r="H52" s="327">
        <v>0.39</v>
      </c>
      <c r="I52" s="327">
        <v>0</v>
      </c>
      <c r="J52" s="327">
        <v>0</v>
      </c>
      <c r="K52" s="327">
        <v>0</v>
      </c>
      <c r="L52" s="327">
        <v>0</v>
      </c>
      <c r="M52" s="327">
        <v>0.18</v>
      </c>
      <c r="N52" s="326">
        <f t="shared" si="0"/>
        <v>0.15</v>
      </c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</row>
    <row r="53" spans="1:27" s="1" customFormat="1" ht="12.75">
      <c r="A53" s="326">
        <v>37</v>
      </c>
      <c r="B53" s="625" t="s">
        <v>108</v>
      </c>
      <c r="C53" s="625"/>
      <c r="D53" s="625"/>
      <c r="E53" s="327">
        <v>0.22</v>
      </c>
      <c r="F53" s="327">
        <v>0</v>
      </c>
      <c r="G53" s="327">
        <v>0.05</v>
      </c>
      <c r="H53" s="327">
        <v>0.16</v>
      </c>
      <c r="I53" s="327">
        <v>0</v>
      </c>
      <c r="J53" s="327">
        <v>0</v>
      </c>
      <c r="K53" s="327">
        <v>0</v>
      </c>
      <c r="L53" s="327">
        <v>0.28</v>
      </c>
      <c r="M53" s="327">
        <v>0.14</v>
      </c>
      <c r="N53" s="326">
        <f t="shared" si="0"/>
        <v>0.15</v>
      </c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</row>
    <row r="54" spans="1:27" s="1" customFormat="1" ht="12.75">
      <c r="A54" s="326">
        <v>38</v>
      </c>
      <c r="B54" s="625" t="s">
        <v>109</v>
      </c>
      <c r="C54" s="625"/>
      <c r="D54" s="625"/>
      <c r="E54" s="327">
        <v>0.35</v>
      </c>
      <c r="F54" s="327">
        <v>0.08</v>
      </c>
      <c r="G54" s="327">
        <v>0.05</v>
      </c>
      <c r="H54" s="327">
        <v>0.35</v>
      </c>
      <c r="I54" s="327">
        <v>0</v>
      </c>
      <c r="J54" s="327">
        <v>0</v>
      </c>
      <c r="K54" s="327">
        <v>0.02</v>
      </c>
      <c r="L54" s="327">
        <v>0</v>
      </c>
      <c r="M54" s="327">
        <v>0</v>
      </c>
      <c r="N54" s="326">
        <f t="shared" si="0"/>
        <v>0.15</v>
      </c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</row>
    <row r="55" spans="1:27" s="1" customFormat="1" ht="12.75">
      <c r="A55" s="326">
        <v>39</v>
      </c>
      <c r="B55" s="625" t="s">
        <v>110</v>
      </c>
      <c r="C55" s="625"/>
      <c r="D55" s="625"/>
      <c r="E55" s="327">
        <v>0.81</v>
      </c>
      <c r="F55" s="327">
        <v>0.02</v>
      </c>
      <c r="G55" s="327">
        <v>0</v>
      </c>
      <c r="H55" s="327">
        <v>0.02</v>
      </c>
      <c r="I55" s="327">
        <v>0</v>
      </c>
      <c r="J55" s="327">
        <v>0</v>
      </c>
      <c r="K55" s="327">
        <v>0</v>
      </c>
      <c r="L55" s="327">
        <v>0</v>
      </c>
      <c r="M55" s="327">
        <v>0</v>
      </c>
      <c r="N55" s="326">
        <f t="shared" si="0"/>
        <v>0.15</v>
      </c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</row>
    <row r="56" spans="1:27" s="1" customFormat="1" ht="12.75">
      <c r="A56" s="326">
        <v>40</v>
      </c>
      <c r="B56" s="625" t="s">
        <v>111</v>
      </c>
      <c r="C56" s="625"/>
      <c r="D56" s="625"/>
      <c r="E56" s="327">
        <v>0.31</v>
      </c>
      <c r="F56" s="327">
        <v>0.19</v>
      </c>
      <c r="G56" s="327">
        <v>0</v>
      </c>
      <c r="H56" s="327">
        <v>0.13</v>
      </c>
      <c r="I56" s="327">
        <v>0.22</v>
      </c>
      <c r="J56" s="327">
        <v>0</v>
      </c>
      <c r="K56" s="327">
        <f>0</f>
        <v>0</v>
      </c>
      <c r="L56" s="327">
        <v>0</v>
      </c>
      <c r="M56" s="327">
        <v>0</v>
      </c>
      <c r="N56" s="326">
        <f t="shared" si="0"/>
        <v>0.15</v>
      </c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</row>
    <row r="57" spans="1:27" s="1" customFormat="1" ht="12.75">
      <c r="A57" s="326">
        <v>41</v>
      </c>
      <c r="B57" s="625" t="s">
        <v>112</v>
      </c>
      <c r="C57" s="625"/>
      <c r="D57" s="625"/>
      <c r="E57" s="327">
        <v>0.34</v>
      </c>
      <c r="F57" s="327">
        <v>0.22</v>
      </c>
      <c r="G57" s="327">
        <v>0</v>
      </c>
      <c r="H57" s="327">
        <v>0.13</v>
      </c>
      <c r="I57" s="327">
        <v>0.16</v>
      </c>
      <c r="J57" s="327">
        <v>0</v>
      </c>
      <c r="K57" s="327">
        <v>0</v>
      </c>
      <c r="L57" s="327">
        <v>0</v>
      </c>
      <c r="M57" s="327">
        <v>0</v>
      </c>
      <c r="N57" s="326">
        <f t="shared" si="0"/>
        <v>0.15</v>
      </c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</row>
    <row r="58" spans="1:27" s="1" customFormat="1" ht="12.75">
      <c r="A58" s="326">
        <v>42</v>
      </c>
      <c r="B58" s="625" t="s">
        <v>113</v>
      </c>
      <c r="C58" s="625"/>
      <c r="D58" s="625"/>
      <c r="E58" s="327">
        <v>0.26</v>
      </c>
      <c r="F58" s="327">
        <v>0.15</v>
      </c>
      <c r="G58" s="327">
        <v>0</v>
      </c>
      <c r="H58" s="327">
        <v>0.1</v>
      </c>
      <c r="I58" s="327">
        <v>0.34</v>
      </c>
      <c r="J58" s="327">
        <v>0</v>
      </c>
      <c r="K58" s="327">
        <v>0</v>
      </c>
      <c r="L58" s="327">
        <v>0</v>
      </c>
      <c r="M58" s="327">
        <v>0</v>
      </c>
      <c r="N58" s="326">
        <f t="shared" si="0"/>
        <v>0.15</v>
      </c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</row>
    <row r="59" spans="1:27" s="1" customFormat="1" ht="12.75">
      <c r="A59" s="326">
        <v>43</v>
      </c>
      <c r="B59" s="625" t="s">
        <v>114</v>
      </c>
      <c r="C59" s="625"/>
      <c r="D59" s="625"/>
      <c r="E59" s="327">
        <v>0.3</v>
      </c>
      <c r="F59" s="327">
        <v>0.16</v>
      </c>
      <c r="G59" s="327">
        <v>0.05</v>
      </c>
      <c r="H59" s="327">
        <v>0.1</v>
      </c>
      <c r="I59" s="327">
        <v>0.24</v>
      </c>
      <c r="J59" s="327">
        <v>0</v>
      </c>
      <c r="K59" s="327">
        <v>0</v>
      </c>
      <c r="L59" s="327">
        <v>0</v>
      </c>
      <c r="M59" s="327">
        <v>0</v>
      </c>
      <c r="N59" s="326">
        <f t="shared" si="0"/>
        <v>0.15</v>
      </c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</row>
    <row r="60" spans="1:27" s="1" customFormat="1" ht="12.75">
      <c r="A60" s="326">
        <v>44</v>
      </c>
      <c r="B60" s="625" t="s">
        <v>115</v>
      </c>
      <c r="C60" s="625"/>
      <c r="D60" s="625"/>
      <c r="E60" s="327">
        <v>0.28</v>
      </c>
      <c r="F60" s="327">
        <v>0.18</v>
      </c>
      <c r="G60" s="327">
        <v>0</v>
      </c>
      <c r="H60" s="327">
        <v>0.12</v>
      </c>
      <c r="I60" s="327">
        <v>0.27</v>
      </c>
      <c r="J60" s="327">
        <v>0</v>
      </c>
      <c r="K60" s="327">
        <f>0</f>
        <v>0</v>
      </c>
      <c r="L60" s="327">
        <v>0</v>
      </c>
      <c r="M60" s="327">
        <v>0</v>
      </c>
      <c r="N60" s="326">
        <f t="shared" si="0"/>
        <v>0.15</v>
      </c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</row>
    <row r="61" spans="1:27" s="1" customFormat="1" ht="12.75">
      <c r="A61" s="326">
        <v>45</v>
      </c>
      <c r="B61" s="625" t="s">
        <v>116</v>
      </c>
      <c r="C61" s="625"/>
      <c r="D61" s="625"/>
      <c r="E61" s="327">
        <v>0.3</v>
      </c>
      <c r="F61" s="327">
        <v>0.17</v>
      </c>
      <c r="G61" s="327">
        <v>0.07</v>
      </c>
      <c r="H61" s="327">
        <v>0.11</v>
      </c>
      <c r="I61" s="327">
        <v>0.2</v>
      </c>
      <c r="J61" s="327">
        <v>0</v>
      </c>
      <c r="K61" s="327">
        <v>0</v>
      </c>
      <c r="L61" s="327">
        <v>0</v>
      </c>
      <c r="M61" s="327">
        <v>0</v>
      </c>
      <c r="N61" s="326">
        <f t="shared" si="0"/>
        <v>0.15</v>
      </c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</row>
    <row r="62" spans="1:27" ht="12.75">
      <c r="A62" s="326">
        <v>46</v>
      </c>
      <c r="B62" s="640" t="s">
        <v>117</v>
      </c>
      <c r="C62" s="640"/>
      <c r="D62" s="640"/>
      <c r="E62" s="327">
        <v>0.22</v>
      </c>
      <c r="F62" s="327">
        <v>0.11</v>
      </c>
      <c r="G62" s="327">
        <v>0</v>
      </c>
      <c r="H62" s="327">
        <v>0.1</v>
      </c>
      <c r="I62" s="327">
        <v>0.42</v>
      </c>
      <c r="J62" s="327">
        <v>0</v>
      </c>
      <c r="K62" s="327">
        <v>0</v>
      </c>
      <c r="L62" s="327">
        <v>0</v>
      </c>
      <c r="M62" s="327">
        <v>0</v>
      </c>
      <c r="N62" s="326">
        <f t="shared" si="0"/>
        <v>0.15</v>
      </c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</row>
    <row r="63" spans="1:27" ht="12.75">
      <c r="A63" s="326">
        <v>47</v>
      </c>
      <c r="B63" s="640" t="s">
        <v>118</v>
      </c>
      <c r="C63" s="640"/>
      <c r="D63" s="640"/>
      <c r="E63" s="327">
        <v>0.26</v>
      </c>
      <c r="F63" s="327">
        <v>0.14</v>
      </c>
      <c r="G63" s="327">
        <v>0</v>
      </c>
      <c r="H63" s="327">
        <v>0.1</v>
      </c>
      <c r="I63" s="327">
        <v>0.35</v>
      </c>
      <c r="J63" s="327">
        <v>0</v>
      </c>
      <c r="K63" s="327">
        <v>0</v>
      </c>
      <c r="L63" s="327">
        <v>0</v>
      </c>
      <c r="M63" s="327">
        <v>0</v>
      </c>
      <c r="N63" s="326">
        <f t="shared" si="0"/>
        <v>0.15</v>
      </c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</row>
    <row r="64" spans="1:27" ht="12.75">
      <c r="A64" s="326">
        <v>48</v>
      </c>
      <c r="B64" s="640" t="s">
        <v>119</v>
      </c>
      <c r="C64" s="640"/>
      <c r="D64" s="640"/>
      <c r="E64" s="327">
        <v>0.19</v>
      </c>
      <c r="F64" s="327">
        <v>0.08</v>
      </c>
      <c r="G64" s="327">
        <v>0</v>
      </c>
      <c r="H64" s="327">
        <v>0.04</v>
      </c>
      <c r="I64" s="327">
        <v>0.54</v>
      </c>
      <c r="J64" s="327">
        <v>0</v>
      </c>
      <c r="K64" s="327">
        <v>0</v>
      </c>
      <c r="L64" s="327">
        <v>0</v>
      </c>
      <c r="M64" s="327">
        <v>0</v>
      </c>
      <c r="N64" s="326">
        <f t="shared" si="0"/>
        <v>0.15</v>
      </c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</row>
    <row r="65" spans="1:27" ht="12.75">
      <c r="A65" s="326">
        <v>49</v>
      </c>
      <c r="B65" s="638" t="s">
        <v>122</v>
      </c>
      <c r="C65" s="638"/>
      <c r="D65" s="638"/>
      <c r="E65" s="327">
        <v>0</v>
      </c>
      <c r="F65" s="327">
        <v>0</v>
      </c>
      <c r="G65" s="327">
        <v>0</v>
      </c>
      <c r="H65" s="327">
        <v>0</v>
      </c>
      <c r="I65" s="327">
        <v>0</v>
      </c>
      <c r="J65" s="327">
        <v>0</v>
      </c>
      <c r="K65" s="327">
        <v>0</v>
      </c>
      <c r="L65" s="327">
        <v>0</v>
      </c>
      <c r="M65" s="327">
        <v>0</v>
      </c>
      <c r="N65" s="327">
        <v>0</v>
      </c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</row>
    <row r="66" spans="1:27" ht="12.75">
      <c r="A66" s="326">
        <v>50</v>
      </c>
      <c r="B66" s="638" t="s">
        <v>122</v>
      </c>
      <c r="C66" s="638"/>
      <c r="D66" s="638"/>
      <c r="E66" s="327">
        <v>0</v>
      </c>
      <c r="F66" s="327">
        <v>0</v>
      </c>
      <c r="G66" s="327">
        <v>0</v>
      </c>
      <c r="H66" s="327">
        <v>0</v>
      </c>
      <c r="I66" s="327">
        <v>0</v>
      </c>
      <c r="J66" s="327">
        <v>0</v>
      </c>
      <c r="K66" s="327">
        <v>0</v>
      </c>
      <c r="L66" s="327">
        <v>0</v>
      </c>
      <c r="M66" s="327">
        <v>0</v>
      </c>
      <c r="N66" s="327">
        <v>0</v>
      </c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</row>
    <row r="67" spans="1:27" ht="12.75">
      <c r="A67" s="328"/>
      <c r="B67" s="639" t="s">
        <v>121</v>
      </c>
      <c r="C67" s="639"/>
      <c r="D67" s="639"/>
      <c r="E67" s="329" t="s">
        <v>13</v>
      </c>
      <c r="F67" s="329" t="s">
        <v>14</v>
      </c>
      <c r="G67" s="329" t="s">
        <v>15</v>
      </c>
      <c r="H67" s="329" t="s">
        <v>16</v>
      </c>
      <c r="I67" s="329" t="s">
        <v>17</v>
      </c>
      <c r="J67" s="329" t="s">
        <v>18</v>
      </c>
      <c r="K67" s="329" t="s">
        <v>19</v>
      </c>
      <c r="L67" s="329" t="s">
        <v>20</v>
      </c>
      <c r="M67" s="329" t="s">
        <v>21</v>
      </c>
      <c r="N67" s="329" t="s">
        <v>22</v>
      </c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</row>
    <row r="68" spans="1:27" ht="12.75">
      <c r="A68" s="323"/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</row>
    <row r="69" spans="1:27" ht="12.75" customHeight="1">
      <c r="A69" s="178"/>
      <c r="B69" s="178"/>
      <c r="C69" s="178"/>
      <c r="D69" s="178"/>
      <c r="E69" s="637" t="str">
        <f>IF(SUM(E65:N65)&lt;&gt;1,"ATENCIÓN LA SUMA DE LOS COEFICIENTES DEBERÁ SER IGUAL A 1 EN LA FÓRMULA 49","")</f>
        <v>ATENCIÓN LA SUMA DE LOS COEFICIENTES DEBERÁ SER IGUAL A 1 EN LA FÓRMULA 49</v>
      </c>
      <c r="F69" s="637"/>
      <c r="G69" s="637"/>
      <c r="H69" s="637"/>
      <c r="I69" s="637"/>
      <c r="J69" s="637" t="str">
        <f>IF(SUM(E66:N66)&lt;&gt;1,"ATENCIÓN LA SUMA DE LOS COEFICIENTES DEBERÁ SER IGUAL A 1 EN LA FÓRMULA 50","")</f>
        <v>ATENCIÓN LA SUMA DE LOS COEFICIENTES DEBERÁ SER IGUAL A 1 EN LA FÓRMULA 50</v>
      </c>
      <c r="K69" s="637"/>
      <c r="L69" s="637"/>
      <c r="M69" s="637"/>
      <c r="N69" s="637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</row>
    <row r="70" spans="1:27" ht="12.75">
      <c r="A70" s="178"/>
      <c r="B70" s="178"/>
      <c r="C70" s="178"/>
      <c r="D70" s="178"/>
      <c r="E70" s="637"/>
      <c r="F70" s="637"/>
      <c r="G70" s="637"/>
      <c r="H70" s="637"/>
      <c r="I70" s="637"/>
      <c r="J70" s="637"/>
      <c r="K70" s="637"/>
      <c r="L70" s="637"/>
      <c r="M70" s="637"/>
      <c r="N70" s="637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</row>
    <row r="71" spans="1:27" ht="12.75">
      <c r="A71" s="418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</row>
    <row r="72" spans="1:27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</row>
    <row r="73" spans="1:27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</row>
    <row r="74" spans="1:27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</row>
    <row r="75" spans="1:27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</row>
    <row r="76" spans="1:27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</row>
    <row r="77" spans="1:27" ht="12.75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</row>
    <row r="78" spans="1:27" ht="12.7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</row>
    <row r="79" spans="1:27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</row>
    <row r="80" spans="1:27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</row>
    <row r="81" spans="1:27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</row>
    <row r="82" spans="1:27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</row>
    <row r="83" spans="1:27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</row>
    <row r="85" spans="1:27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</row>
    <row r="86" spans="1:27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</row>
    <row r="87" spans="1:27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</row>
    <row r="88" spans="1:27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</row>
    <row r="89" spans="1:27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</row>
    <row r="90" spans="1:27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</row>
    <row r="91" spans="1:27" ht="12.75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</row>
    <row r="92" spans="1:27" ht="12.7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</row>
    <row r="93" spans="1:27" ht="12.75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</row>
    <row r="94" spans="1:27" ht="12.7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</row>
    <row r="95" spans="1:27" ht="12.75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</row>
    <row r="96" spans="1:27" ht="12.75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</row>
    <row r="97" spans="1:27" ht="12.75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</row>
    <row r="98" spans="1:27" ht="12.75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</row>
  </sheetData>
  <sheetProtection password="E4D0" sheet="1" formatRows="0"/>
  <mergeCells count="62">
    <mergeCell ref="B59:D59"/>
    <mergeCell ref="B60:D60"/>
    <mergeCell ref="B53:D53"/>
    <mergeCell ref="B56:D56"/>
    <mergeCell ref="B55:D55"/>
    <mergeCell ref="B54:D54"/>
    <mergeCell ref="B57:D57"/>
    <mergeCell ref="B58:D58"/>
    <mergeCell ref="J69:N70"/>
    <mergeCell ref="B65:D65"/>
    <mergeCell ref="B66:D66"/>
    <mergeCell ref="B67:D67"/>
    <mergeCell ref="B63:D63"/>
    <mergeCell ref="B61:D61"/>
    <mergeCell ref="E69:I70"/>
    <mergeCell ref="B64:D64"/>
    <mergeCell ref="B62:D62"/>
    <mergeCell ref="B51:D51"/>
    <mergeCell ref="B52:D52"/>
    <mergeCell ref="B45:D45"/>
    <mergeCell ref="B46:D46"/>
    <mergeCell ref="B47:D47"/>
    <mergeCell ref="B48:D48"/>
    <mergeCell ref="B49:D49"/>
    <mergeCell ref="B44:D44"/>
    <mergeCell ref="B37:D37"/>
    <mergeCell ref="B38:D38"/>
    <mergeCell ref="B39:D39"/>
    <mergeCell ref="B40:D40"/>
    <mergeCell ref="B50:D50"/>
    <mergeCell ref="B32:D32"/>
    <mergeCell ref="B33:D33"/>
    <mergeCell ref="B34:D34"/>
    <mergeCell ref="B41:D41"/>
    <mergeCell ref="B42:D42"/>
    <mergeCell ref="B43:D43"/>
    <mergeCell ref="B36:D36"/>
    <mergeCell ref="B35:D35"/>
    <mergeCell ref="B26:D26"/>
    <mergeCell ref="B19:D19"/>
    <mergeCell ref="B22:D22"/>
    <mergeCell ref="B21:D21"/>
    <mergeCell ref="B27:D27"/>
    <mergeCell ref="B30:D30"/>
    <mergeCell ref="L2:N2"/>
    <mergeCell ref="L3:N4"/>
    <mergeCell ref="B16:D16"/>
    <mergeCell ref="B17:D17"/>
    <mergeCell ref="A14:N14"/>
    <mergeCell ref="F2:G2"/>
    <mergeCell ref="B3:C5"/>
    <mergeCell ref="B2:C2"/>
    <mergeCell ref="B18:D18"/>
    <mergeCell ref="I2:J2"/>
    <mergeCell ref="B23:D23"/>
    <mergeCell ref="B31:D31"/>
    <mergeCell ref="B29:D29"/>
    <mergeCell ref="B28:D28"/>
    <mergeCell ref="B25:D25"/>
    <mergeCell ref="B24:D24"/>
    <mergeCell ref="E4:J4"/>
    <mergeCell ref="B20:D20"/>
  </mergeCells>
  <conditionalFormatting sqref="A17:A64">
    <cfRule type="cellIs" priority="5" dxfId="9" operator="equal" stopIfTrue="1">
      <formula>$C$8</formula>
    </cfRule>
    <cfRule type="cellIs" priority="6" dxfId="8" operator="equal" stopIfTrue="1">
      <formula>$C$9</formula>
    </cfRule>
  </conditionalFormatting>
  <conditionalFormatting sqref="C9:N9">
    <cfRule type="expression" priority="7" dxfId="12" stopIfTrue="1">
      <formula>$A$8=3</formula>
    </cfRule>
  </conditionalFormatting>
  <conditionalFormatting sqref="C8">
    <cfRule type="cellIs" priority="3" dxfId="9" operator="equal" stopIfTrue="1">
      <formula>$C$8</formula>
    </cfRule>
    <cfRule type="cellIs" priority="4" dxfId="8" operator="equal" stopIfTrue="1">
      <formula>$C$9</formula>
    </cfRule>
  </conditionalFormatting>
  <conditionalFormatting sqref="C9">
    <cfRule type="cellIs" priority="1" dxfId="9" operator="equal" stopIfTrue="1">
      <formula>$C$8</formula>
    </cfRule>
    <cfRule type="cellIs" priority="2" dxfId="8" operator="equal" stopIfTrue="1">
      <formula>$C$9</formula>
    </cfRule>
  </conditionalFormatting>
  <dataValidations count="2">
    <dataValidation errorStyle="warning" type="whole" allowBlank="1" showInputMessage="1" showErrorMessage="1" promptTitle="FÓRMULA DE REVISIÓN Nº1" prompt="Introduzca fórmula tipo, entre 1 y 50 (49 y/o 50 para fórmulas especiales). Si utiliza fórmulas especiales, consulte el artículo 104.2 de la LCAP00." errorTitle="FUERA DE RANGO" error="El valor no corresponde a ninguna fórmula tipo." sqref="C8">
      <formula1>1</formula1>
      <formula2>50</formula2>
    </dataValidation>
    <dataValidation errorStyle="warning" type="whole" allowBlank="1" showInputMessage="1" showErrorMessage="1" promptTitle="FÓRMULA DE REVISIÓN Nº2" prompt="Introduzca fórmula tipo, entre 1 y 50 (49 y/o 50 para fórmulas especiales). Si utiliza fórmulas especiales, consulte el artículo 104.2 de la LCAP00." errorTitle="FUERA DE RANGO" error="Tu tanga no corresponde con ninguna fórmula tipo." sqref="C9">
      <formula1>1</formula1>
      <formula2>50</formula2>
    </dataValidation>
  </dataValidations>
  <hyperlinks>
    <hyperlink ref="E4:J4" location="INICIO!K2" tooltip="PULSE PARA VOLVER A LA HOJA DE INICIO" display="VOLVER A HOJA PRINCIPAL"/>
  </hyperlinks>
  <printOptions/>
  <pageMargins left="0.7874015748031497" right="0.3937007874015748" top="0.7874015748031497" bottom="0.6299212598425197" header="0" footer="0"/>
  <pageSetup blackAndWhite="1" horizontalDpi="600" verticalDpi="600" orientation="landscape" paperSize="9" scale="75" r:id="rId3"/>
  <headerFooter alignWithMargins="0">
    <oddHeader>&amp;L&amp;F</oddHeader>
    <oddFooter>&amp;R&amp;8&amp;P DE &amp;N</oddFooter>
  </headerFooter>
  <colBreaks count="1" manualBreakCount="1">
    <brk id="14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AD324"/>
  <sheetViews>
    <sheetView zoomScaleSheetLayoutView="77" zoomScalePageLayoutView="0" workbookViewId="0" topLeftCell="A1">
      <pane ySplit="10" topLeftCell="A297" activePane="bottomLeft" state="frozen"/>
      <selection pane="topLeft" activeCell="A1" sqref="A1"/>
      <selection pane="bottomLeft" activeCell="D3" sqref="D3:F3"/>
    </sheetView>
  </sheetViews>
  <sheetFormatPr defaultColWidth="11.421875" defaultRowHeight="12.75"/>
  <cols>
    <col min="1" max="1" width="9.28125" style="0" bestFit="1" customWidth="1"/>
    <col min="2" max="2" width="15.421875" style="0" customWidth="1"/>
    <col min="3" max="3" width="17.8515625" style="0" bestFit="1" customWidth="1"/>
    <col min="4" max="4" width="12.7109375" style="0" customWidth="1"/>
    <col min="5" max="5" width="13.140625" style="0" customWidth="1"/>
    <col min="6" max="6" width="12.140625" style="0" customWidth="1"/>
    <col min="7" max="8" width="13.140625" style="0" customWidth="1"/>
    <col min="9" max="9" width="12.28125" style="0" customWidth="1"/>
    <col min="10" max="10" width="12.140625" style="0" customWidth="1"/>
    <col min="11" max="11" width="13.421875" style="0" customWidth="1"/>
    <col min="12" max="12" width="5.28125" style="0" customWidth="1"/>
    <col min="15" max="15" width="11.421875" style="0" hidden="1" customWidth="1"/>
  </cols>
  <sheetData>
    <row r="1" spans="1:27" ht="12.75" customHeight="1">
      <c r="A1" s="15"/>
      <c r="B1" s="15"/>
      <c r="C1" s="15"/>
      <c r="D1" s="642" t="s">
        <v>331</v>
      </c>
      <c r="E1" s="642"/>
      <c r="F1" s="642"/>
      <c r="G1" s="193"/>
      <c r="H1" s="15"/>
      <c r="I1" s="15"/>
      <c r="J1" s="15"/>
      <c r="K1" s="15"/>
      <c r="L1" s="15"/>
      <c r="M1" s="15"/>
      <c r="N1" s="15"/>
      <c r="O1" s="205">
        <f>AUXILIAR!B13</f>
        <v>3</v>
      </c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7" ht="10.5" customHeight="1">
      <c r="A2" s="15"/>
      <c r="B2" s="15"/>
      <c r="C2" s="15"/>
      <c r="D2" s="643" t="s">
        <v>365</v>
      </c>
      <c r="E2" s="643"/>
      <c r="F2" s="643"/>
      <c r="G2" s="643"/>
      <c r="H2" s="15"/>
      <c r="I2" s="15"/>
      <c r="J2" s="15"/>
      <c r="K2" s="15"/>
      <c r="L2" s="15"/>
      <c r="M2" s="15"/>
      <c r="N2" s="15"/>
      <c r="O2" s="10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ht="12.75" customHeight="1">
      <c r="A3" s="15"/>
      <c r="B3" s="15"/>
      <c r="C3" s="15"/>
      <c r="D3" s="646" t="s">
        <v>354</v>
      </c>
      <c r="E3" s="646"/>
      <c r="F3" s="646"/>
      <c r="G3" s="194"/>
      <c r="H3" s="15"/>
      <c r="I3" s="15"/>
      <c r="J3" s="15"/>
      <c r="K3" s="15"/>
      <c r="L3" s="15"/>
      <c r="M3" s="15"/>
      <c r="N3" s="15"/>
      <c r="O3" s="10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27" ht="24" customHeight="1">
      <c r="A4" s="15"/>
      <c r="B4" s="15"/>
      <c r="C4" s="15"/>
      <c r="D4" s="645" t="s">
        <v>362</v>
      </c>
      <c r="E4" s="645"/>
      <c r="F4" s="645"/>
      <c r="G4" s="192"/>
      <c r="H4" s="15"/>
      <c r="I4" s="15"/>
      <c r="J4" s="15"/>
      <c r="K4" s="15"/>
      <c r="L4" s="15"/>
      <c r="M4" s="15"/>
      <c r="N4" s="15"/>
      <c r="O4" s="10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1:27" ht="14.25" customHeight="1">
      <c r="A5" s="15"/>
      <c r="B5" s="15"/>
      <c r="C5" s="15"/>
      <c r="D5" s="192"/>
      <c r="E5" s="192"/>
      <c r="F5" s="192"/>
      <c r="G5" s="192"/>
      <c r="H5" s="15"/>
      <c r="I5" s="15"/>
      <c r="J5" s="15"/>
      <c r="K5" s="15"/>
      <c r="L5" s="15"/>
      <c r="M5" s="15"/>
      <c r="N5" s="15"/>
      <c r="O5" s="10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1:27" ht="6.75" customHeight="1" thickBot="1">
      <c r="A6" s="164"/>
      <c r="B6" s="164"/>
      <c r="C6" s="164"/>
      <c r="D6" s="196"/>
      <c r="E6" s="196"/>
      <c r="F6" s="196"/>
      <c r="G6" s="196"/>
      <c r="H6" s="164"/>
      <c r="I6" s="164"/>
      <c r="J6" s="164"/>
      <c r="K6" s="164"/>
      <c r="L6" s="15"/>
      <c r="M6" s="15"/>
      <c r="N6" s="15"/>
      <c r="O6" s="10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</row>
    <row r="7" spans="1:30" s="1" customFormat="1" ht="20.25" customHeight="1">
      <c r="A7" s="644" t="s">
        <v>206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204"/>
      <c r="M7" s="204"/>
      <c r="N7" s="204"/>
      <c r="O7" s="11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3"/>
      <c r="AC7" s="3"/>
      <c r="AD7" s="3"/>
    </row>
    <row r="8" spans="1:30" s="1" customFormat="1" ht="12.75">
      <c r="A8" s="647" t="s">
        <v>352</v>
      </c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11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3"/>
      <c r="AC8" s="3"/>
      <c r="AD8" s="3"/>
    </row>
    <row r="9" spans="1:30" s="1" customFormat="1" ht="6" customHeight="1">
      <c r="A9" s="198"/>
      <c r="B9" s="198"/>
      <c r="C9" s="198"/>
      <c r="D9" s="199"/>
      <c r="E9" s="197"/>
      <c r="F9" s="197"/>
      <c r="G9" s="197"/>
      <c r="H9" s="197"/>
      <c r="I9" s="197"/>
      <c r="J9" s="197"/>
      <c r="K9" s="197"/>
      <c r="L9" s="204"/>
      <c r="M9" s="204"/>
      <c r="N9" s="204"/>
      <c r="O9" s="11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3"/>
      <c r="AC9" s="3"/>
      <c r="AD9" s="3"/>
    </row>
    <row r="10" spans="1:27" s="1" customFormat="1" ht="12.75">
      <c r="A10" s="59" t="s">
        <v>10</v>
      </c>
      <c r="B10" s="59" t="s">
        <v>0</v>
      </c>
      <c r="C10" s="256" t="s">
        <v>1</v>
      </c>
      <c r="D10" s="256" t="s">
        <v>2</v>
      </c>
      <c r="E10" s="256" t="s">
        <v>3</v>
      </c>
      <c r="F10" s="256" t="s">
        <v>4</v>
      </c>
      <c r="G10" s="256" t="s">
        <v>5</v>
      </c>
      <c r="H10" s="256" t="s">
        <v>6</v>
      </c>
      <c r="I10" s="256" t="s">
        <v>7</v>
      </c>
      <c r="J10" s="256" t="s">
        <v>8</v>
      </c>
      <c r="K10" s="256" t="s">
        <v>9</v>
      </c>
      <c r="L10" s="204"/>
      <c r="M10" s="204"/>
      <c r="N10" s="204"/>
      <c r="O10" s="11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</row>
    <row r="11" spans="1:27" s="1" customFormat="1" ht="12.75">
      <c r="A11" s="257">
        <v>35065</v>
      </c>
      <c r="B11" s="258">
        <v>35266</v>
      </c>
      <c r="C11" s="200">
        <v>267.1</v>
      </c>
      <c r="D11" s="200">
        <v>1216.7</v>
      </c>
      <c r="E11" s="200">
        <v>965.9</v>
      </c>
      <c r="F11" s="200">
        <v>1359</v>
      </c>
      <c r="G11" s="200">
        <v>690.5</v>
      </c>
      <c r="H11" s="200">
        <v>1519</v>
      </c>
      <c r="I11" s="200">
        <v>695.5</v>
      </c>
      <c r="J11" s="200">
        <v>642.1</v>
      </c>
      <c r="K11" s="200">
        <v>1030.6</v>
      </c>
      <c r="L11" s="201"/>
      <c r="M11" s="201"/>
      <c r="N11" s="201"/>
      <c r="O11" s="11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</row>
    <row r="12" spans="1:27" s="1" customFormat="1" ht="12.75">
      <c r="A12" s="257">
        <v>35096</v>
      </c>
      <c r="B12" s="258">
        <v>35299</v>
      </c>
      <c r="C12" s="200">
        <v>267.78</v>
      </c>
      <c r="D12" s="200">
        <v>1218.3</v>
      </c>
      <c r="E12" s="200">
        <v>967.4</v>
      </c>
      <c r="F12" s="200">
        <v>1359</v>
      </c>
      <c r="G12" s="200">
        <v>672.8</v>
      </c>
      <c r="H12" s="200">
        <v>1494.3</v>
      </c>
      <c r="I12" s="200">
        <v>676.5</v>
      </c>
      <c r="J12" s="200">
        <v>644.7</v>
      </c>
      <c r="K12" s="200">
        <v>1030.6</v>
      </c>
      <c r="L12" s="201"/>
      <c r="M12" s="201"/>
      <c r="N12" s="201"/>
      <c r="O12" s="11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</row>
    <row r="13" spans="1:27" s="1" customFormat="1" ht="12.75">
      <c r="A13" s="257">
        <v>35125</v>
      </c>
      <c r="B13" s="258">
        <v>35299</v>
      </c>
      <c r="C13" s="200">
        <v>268.69</v>
      </c>
      <c r="D13" s="200">
        <v>1220.7</v>
      </c>
      <c r="E13" s="200">
        <v>967.4</v>
      </c>
      <c r="F13" s="200">
        <v>1358.4</v>
      </c>
      <c r="G13" s="200">
        <v>669.2</v>
      </c>
      <c r="H13" s="200">
        <v>1521.8</v>
      </c>
      <c r="I13" s="200">
        <v>687.5</v>
      </c>
      <c r="J13" s="200">
        <v>641.3</v>
      </c>
      <c r="K13" s="200">
        <v>1030.6</v>
      </c>
      <c r="L13" s="201"/>
      <c r="M13" s="201"/>
      <c r="N13" s="201"/>
      <c r="O13" s="11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</row>
    <row r="14" spans="1:27" s="1" customFormat="1" ht="12.75">
      <c r="A14" s="257">
        <v>35156</v>
      </c>
      <c r="B14" s="258">
        <v>35403</v>
      </c>
      <c r="C14" s="200">
        <v>270.06</v>
      </c>
      <c r="D14" s="200">
        <v>1222.3</v>
      </c>
      <c r="E14" s="200">
        <v>968.2</v>
      </c>
      <c r="F14" s="200">
        <v>1359.6</v>
      </c>
      <c r="G14" s="200">
        <v>670</v>
      </c>
      <c r="H14" s="200">
        <v>1552.1</v>
      </c>
      <c r="I14" s="200">
        <v>703.9</v>
      </c>
      <c r="J14" s="200">
        <v>641</v>
      </c>
      <c r="K14" s="200">
        <v>1030.6</v>
      </c>
      <c r="L14" s="201"/>
      <c r="M14" s="201"/>
      <c r="N14" s="201"/>
      <c r="O14" s="11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</row>
    <row r="15" spans="1:27" s="1" customFormat="1" ht="12.75">
      <c r="A15" s="257">
        <v>35186</v>
      </c>
      <c r="B15" s="258">
        <v>35403</v>
      </c>
      <c r="C15" s="200">
        <v>270.75</v>
      </c>
      <c r="D15" s="200">
        <v>1224.9</v>
      </c>
      <c r="E15" s="200">
        <v>969</v>
      </c>
      <c r="F15" s="200">
        <v>1361.5</v>
      </c>
      <c r="G15" s="200">
        <v>664.5</v>
      </c>
      <c r="H15" s="200">
        <v>1544.8</v>
      </c>
      <c r="I15" s="200">
        <v>733.5</v>
      </c>
      <c r="J15" s="200">
        <v>651.9</v>
      </c>
      <c r="K15" s="200">
        <v>1030.6</v>
      </c>
      <c r="L15" s="201"/>
      <c r="M15" s="201"/>
      <c r="N15" s="201"/>
      <c r="O15" s="11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</row>
    <row r="16" spans="1:27" s="1" customFormat="1" ht="12.75">
      <c r="A16" s="257">
        <v>35217</v>
      </c>
      <c r="B16" s="258">
        <v>35403</v>
      </c>
      <c r="C16" s="200">
        <v>270.52</v>
      </c>
      <c r="D16" s="200">
        <v>1225.8</v>
      </c>
      <c r="E16" s="200">
        <v>969.9</v>
      </c>
      <c r="F16" s="200">
        <v>1361.3</v>
      </c>
      <c r="G16" s="200">
        <v>661.6</v>
      </c>
      <c r="H16" s="200">
        <v>1500.5</v>
      </c>
      <c r="I16" s="200">
        <v>605.6</v>
      </c>
      <c r="J16" s="200">
        <v>654.4</v>
      </c>
      <c r="K16" s="200">
        <v>1030.6</v>
      </c>
      <c r="L16" s="201"/>
      <c r="M16" s="201"/>
      <c r="N16" s="201"/>
      <c r="O16" s="11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7" s="1" customFormat="1" ht="12.75">
      <c r="A17" s="257">
        <v>35247</v>
      </c>
      <c r="B17" s="258">
        <v>35474</v>
      </c>
      <c r="C17" s="200">
        <v>270.75</v>
      </c>
      <c r="D17" s="200">
        <v>1228</v>
      </c>
      <c r="E17" s="200">
        <v>971</v>
      </c>
      <c r="F17" s="200">
        <v>1362.4</v>
      </c>
      <c r="G17" s="200">
        <v>663.3</v>
      </c>
      <c r="H17" s="200">
        <v>1502.6</v>
      </c>
      <c r="I17" s="200">
        <v>546.4</v>
      </c>
      <c r="J17" s="200">
        <v>655.2</v>
      </c>
      <c r="K17" s="200">
        <v>1030.6</v>
      </c>
      <c r="L17" s="201"/>
      <c r="M17" s="201"/>
      <c r="N17" s="201"/>
      <c r="O17" s="11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</row>
    <row r="18" spans="1:27" s="1" customFormat="1" ht="12.75">
      <c r="A18" s="257">
        <v>35278</v>
      </c>
      <c r="B18" s="258">
        <v>35474</v>
      </c>
      <c r="C18" s="200">
        <v>271.44</v>
      </c>
      <c r="D18" s="200">
        <v>1227</v>
      </c>
      <c r="E18" s="200">
        <v>969.3</v>
      </c>
      <c r="F18" s="200">
        <v>1363.3</v>
      </c>
      <c r="G18" s="200">
        <v>666.2</v>
      </c>
      <c r="H18" s="200">
        <v>1518.4</v>
      </c>
      <c r="I18" s="200">
        <v>547.1</v>
      </c>
      <c r="J18" s="200">
        <v>652.5</v>
      </c>
      <c r="K18" s="200">
        <v>1030.6</v>
      </c>
      <c r="L18" s="201"/>
      <c r="M18" s="201"/>
      <c r="N18" s="201"/>
      <c r="O18" s="11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</row>
    <row r="19" spans="1:27" s="1" customFormat="1" ht="12.75">
      <c r="A19" s="257">
        <v>35309</v>
      </c>
      <c r="B19" s="258">
        <v>35474</v>
      </c>
      <c r="C19" s="200">
        <v>271.9</v>
      </c>
      <c r="D19" s="200">
        <v>1227.3</v>
      </c>
      <c r="E19" s="200">
        <v>969.6</v>
      </c>
      <c r="F19" s="200">
        <v>1364.6</v>
      </c>
      <c r="G19" s="200">
        <v>663.9</v>
      </c>
      <c r="H19" s="200">
        <v>1577</v>
      </c>
      <c r="I19" s="200">
        <v>534.2</v>
      </c>
      <c r="J19" s="200">
        <v>651.2</v>
      </c>
      <c r="K19" s="200">
        <v>1030.6</v>
      </c>
      <c r="L19" s="201"/>
      <c r="M19" s="201"/>
      <c r="N19" s="201"/>
      <c r="O19" s="11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</row>
    <row r="20" spans="1:27" s="1" customFormat="1" ht="12.75">
      <c r="A20" s="257">
        <v>35339</v>
      </c>
      <c r="B20" s="258">
        <v>35524</v>
      </c>
      <c r="C20" s="200">
        <v>272.13</v>
      </c>
      <c r="D20" s="200">
        <v>1228.3</v>
      </c>
      <c r="E20" s="200">
        <v>969.6</v>
      </c>
      <c r="F20" s="200">
        <v>1361.3</v>
      </c>
      <c r="G20" s="200">
        <v>662.3</v>
      </c>
      <c r="H20" s="200">
        <v>1645.2</v>
      </c>
      <c r="I20" s="200">
        <v>546</v>
      </c>
      <c r="J20" s="200">
        <v>629.1</v>
      </c>
      <c r="K20" s="200">
        <v>1063.9</v>
      </c>
      <c r="L20" s="201"/>
      <c r="M20" s="201"/>
      <c r="N20" s="201"/>
      <c r="O20" s="11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</row>
    <row r="21" spans="1:27" s="1" customFormat="1" ht="12.75">
      <c r="A21" s="257">
        <v>35370</v>
      </c>
      <c r="B21" s="258">
        <v>35524</v>
      </c>
      <c r="C21" s="200">
        <v>272.13</v>
      </c>
      <c r="D21" s="200">
        <v>1228.4</v>
      </c>
      <c r="E21" s="200">
        <v>970.2</v>
      </c>
      <c r="F21" s="200">
        <v>1361.1</v>
      </c>
      <c r="G21" s="200">
        <v>666</v>
      </c>
      <c r="H21" s="200">
        <v>1630.4</v>
      </c>
      <c r="I21" s="200">
        <v>617.2</v>
      </c>
      <c r="J21" s="200">
        <v>622.7</v>
      </c>
      <c r="K21" s="200">
        <v>1097.2</v>
      </c>
      <c r="L21" s="201"/>
      <c r="M21" s="201"/>
      <c r="N21" s="201"/>
      <c r="O21" s="11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  <row r="22" spans="1:27" s="1" customFormat="1" ht="12.75">
      <c r="A22" s="259">
        <v>35400</v>
      </c>
      <c r="B22" s="260">
        <v>35524</v>
      </c>
      <c r="C22" s="203">
        <v>272.83</v>
      </c>
      <c r="D22" s="203">
        <v>1223.4</v>
      </c>
      <c r="E22" s="203">
        <v>971.1</v>
      </c>
      <c r="F22" s="203">
        <v>1363.5</v>
      </c>
      <c r="G22" s="203">
        <v>666</v>
      </c>
      <c r="H22" s="203">
        <v>1658.5</v>
      </c>
      <c r="I22" s="203">
        <v>640.7</v>
      </c>
      <c r="J22" s="203">
        <v>618.2</v>
      </c>
      <c r="K22" s="203">
        <v>1097.2</v>
      </c>
      <c r="L22" s="201"/>
      <c r="M22" s="201"/>
      <c r="N22" s="201"/>
      <c r="O22" s="11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1:27" s="1" customFormat="1" ht="12.75">
      <c r="A23" s="257">
        <v>35431</v>
      </c>
      <c r="B23" s="258">
        <v>35632</v>
      </c>
      <c r="C23" s="200">
        <v>273.52</v>
      </c>
      <c r="D23" s="200">
        <v>1229.2</v>
      </c>
      <c r="E23" s="200">
        <v>973.1</v>
      </c>
      <c r="F23" s="200">
        <v>1366.6</v>
      </c>
      <c r="G23" s="200">
        <v>668.7</v>
      </c>
      <c r="H23" s="200">
        <v>1614.7</v>
      </c>
      <c r="I23" s="200">
        <v>707.8</v>
      </c>
      <c r="J23" s="200">
        <v>637.4</v>
      </c>
      <c r="K23" s="200">
        <v>1097.2</v>
      </c>
      <c r="L23" s="202"/>
      <c r="M23" s="202"/>
      <c r="N23" s="201"/>
      <c r="O23" s="11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1:27" s="1" customFormat="1" ht="12.75">
      <c r="A24" s="257">
        <v>35462</v>
      </c>
      <c r="B24" s="258">
        <v>35632</v>
      </c>
      <c r="C24" s="200">
        <v>273.29</v>
      </c>
      <c r="D24" s="200">
        <v>1232.4</v>
      </c>
      <c r="E24" s="200">
        <v>973.1</v>
      </c>
      <c r="F24" s="200">
        <v>1369.4</v>
      </c>
      <c r="G24" s="200">
        <v>661.2</v>
      </c>
      <c r="H24" s="200">
        <v>1579.8</v>
      </c>
      <c r="I24" s="200">
        <v>735.4</v>
      </c>
      <c r="J24" s="200">
        <v>657.7</v>
      </c>
      <c r="K24" s="200">
        <v>1097.2</v>
      </c>
      <c r="L24" s="201"/>
      <c r="M24" s="201"/>
      <c r="N24" s="201"/>
      <c r="O24" s="11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</row>
    <row r="25" spans="1:27" s="1" customFormat="1" ht="12.75">
      <c r="A25" s="257">
        <v>35490</v>
      </c>
      <c r="B25" s="258">
        <v>35705</v>
      </c>
      <c r="C25" s="200">
        <v>273.29</v>
      </c>
      <c r="D25" s="200">
        <v>1226.2</v>
      </c>
      <c r="E25" s="200">
        <v>974.3</v>
      </c>
      <c r="F25" s="200">
        <v>1374.2</v>
      </c>
      <c r="G25" s="200">
        <v>663.9</v>
      </c>
      <c r="H25" s="200">
        <v>1559.1</v>
      </c>
      <c r="I25" s="200">
        <v>751.4</v>
      </c>
      <c r="J25" s="200">
        <v>667.7</v>
      </c>
      <c r="K25" s="200">
        <v>1097.2</v>
      </c>
      <c r="L25" s="201"/>
      <c r="M25" s="201"/>
      <c r="N25" s="201"/>
      <c r="O25" s="11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</row>
    <row r="26" spans="1:27" s="1" customFormat="1" ht="12.75">
      <c r="A26" s="257">
        <v>35521</v>
      </c>
      <c r="B26" s="258">
        <v>35705</v>
      </c>
      <c r="C26" s="200">
        <v>273.29</v>
      </c>
      <c r="D26" s="200">
        <v>1220.5</v>
      </c>
      <c r="E26" s="200">
        <v>974.7</v>
      </c>
      <c r="F26" s="200">
        <v>1376.3</v>
      </c>
      <c r="G26" s="200">
        <v>672.1</v>
      </c>
      <c r="H26" s="200">
        <v>1550.4</v>
      </c>
      <c r="I26" s="200">
        <v>744.1</v>
      </c>
      <c r="J26" s="200">
        <v>676.1</v>
      </c>
      <c r="K26" s="200">
        <v>1097.2</v>
      </c>
      <c r="L26" s="201"/>
      <c r="M26" s="201"/>
      <c r="N26" s="201"/>
      <c r="O26" s="11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</row>
    <row r="27" spans="1:27" s="1" customFormat="1" ht="12.75">
      <c r="A27" s="257">
        <v>35551</v>
      </c>
      <c r="B27" s="258">
        <v>35705</v>
      </c>
      <c r="C27" s="200">
        <v>273.52</v>
      </c>
      <c r="D27" s="200">
        <v>1219.9</v>
      </c>
      <c r="E27" s="200">
        <v>975.3</v>
      </c>
      <c r="F27" s="200">
        <v>1377.8</v>
      </c>
      <c r="G27" s="200">
        <v>675.4</v>
      </c>
      <c r="H27" s="200">
        <v>1537.4</v>
      </c>
      <c r="I27" s="200">
        <v>778.7</v>
      </c>
      <c r="J27" s="200">
        <v>676.3</v>
      </c>
      <c r="K27" s="200">
        <v>1097.2</v>
      </c>
      <c r="L27" s="201"/>
      <c r="M27" s="201"/>
      <c r="N27" s="201"/>
      <c r="O27" s="10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</row>
    <row r="28" spans="1:27" s="1" customFormat="1" ht="12.75">
      <c r="A28" s="257">
        <v>35582</v>
      </c>
      <c r="B28" s="258">
        <v>35787</v>
      </c>
      <c r="C28" s="200">
        <v>273.52</v>
      </c>
      <c r="D28" s="200">
        <v>1219.6</v>
      </c>
      <c r="E28" s="200">
        <v>975.8</v>
      </c>
      <c r="F28" s="200">
        <v>1379.5</v>
      </c>
      <c r="G28" s="200">
        <v>676.3</v>
      </c>
      <c r="H28" s="200">
        <v>1540.6</v>
      </c>
      <c r="I28" s="200">
        <v>820.8</v>
      </c>
      <c r="J28" s="200">
        <v>676.7</v>
      </c>
      <c r="K28" s="200">
        <v>1097.2</v>
      </c>
      <c r="L28" s="201"/>
      <c r="M28" s="201"/>
      <c r="N28" s="201"/>
      <c r="O28" s="10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</row>
    <row r="29" spans="1:27" s="1" customFormat="1" ht="12.75">
      <c r="A29" s="257">
        <v>35612</v>
      </c>
      <c r="B29" s="258">
        <v>35787</v>
      </c>
      <c r="C29" s="200">
        <v>273.99</v>
      </c>
      <c r="D29" s="200">
        <v>1219.4</v>
      </c>
      <c r="E29" s="200">
        <v>975.7</v>
      </c>
      <c r="F29" s="200">
        <v>1379.6</v>
      </c>
      <c r="G29" s="200">
        <v>684.1</v>
      </c>
      <c r="H29" s="200">
        <v>1546.1</v>
      </c>
      <c r="I29" s="200">
        <v>797.2</v>
      </c>
      <c r="J29" s="200">
        <v>680.8</v>
      </c>
      <c r="K29" s="200">
        <v>1052.4</v>
      </c>
      <c r="L29" s="201"/>
      <c r="M29" s="201"/>
      <c r="N29" s="201"/>
      <c r="O29" s="10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</row>
    <row r="30" spans="1:27" s="1" customFormat="1" ht="12.75">
      <c r="A30" s="257">
        <v>35643</v>
      </c>
      <c r="B30" s="258">
        <v>35787</v>
      </c>
      <c r="C30" s="200">
        <v>274.92</v>
      </c>
      <c r="D30" s="200">
        <v>1230.8</v>
      </c>
      <c r="E30" s="200">
        <v>976</v>
      </c>
      <c r="F30" s="200">
        <v>1381.7</v>
      </c>
      <c r="G30" s="200">
        <v>695.1</v>
      </c>
      <c r="H30" s="200">
        <v>1598.2</v>
      </c>
      <c r="I30" s="200">
        <v>754.5</v>
      </c>
      <c r="J30" s="200">
        <v>698.6</v>
      </c>
      <c r="K30" s="200">
        <v>1041.2</v>
      </c>
      <c r="L30" s="201"/>
      <c r="M30" s="201"/>
      <c r="N30" s="201"/>
      <c r="O30" s="10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</row>
    <row r="31" spans="1:27" s="1" customFormat="1" ht="12.75">
      <c r="A31" s="257">
        <v>35674</v>
      </c>
      <c r="B31" s="258">
        <v>35867</v>
      </c>
      <c r="C31" s="200">
        <v>276.09</v>
      </c>
      <c r="D31" s="200">
        <v>1217.6</v>
      </c>
      <c r="E31" s="200">
        <v>976.3</v>
      </c>
      <c r="F31" s="200">
        <v>1384</v>
      </c>
      <c r="G31" s="200">
        <v>698.1</v>
      </c>
      <c r="H31" s="200">
        <v>1575.9</v>
      </c>
      <c r="I31" s="200">
        <v>686.2</v>
      </c>
      <c r="J31" s="200">
        <v>671.6</v>
      </c>
      <c r="K31" s="200">
        <v>1041.2</v>
      </c>
      <c r="L31" s="201"/>
      <c r="M31" s="201"/>
      <c r="N31" s="201"/>
      <c r="O31" s="10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</row>
    <row r="32" spans="1:27" s="1" customFormat="1" ht="12.75">
      <c r="A32" s="257">
        <v>35704</v>
      </c>
      <c r="B32" s="258">
        <v>35867</v>
      </c>
      <c r="C32" s="200">
        <v>276.09</v>
      </c>
      <c r="D32" s="200">
        <v>1217.8</v>
      </c>
      <c r="E32" s="200">
        <v>976.6</v>
      </c>
      <c r="F32" s="200">
        <v>1384.5</v>
      </c>
      <c r="G32" s="200">
        <v>703.8</v>
      </c>
      <c r="H32" s="200">
        <v>1596.4</v>
      </c>
      <c r="I32" s="200">
        <v>657.1</v>
      </c>
      <c r="J32" s="200">
        <v>671.3</v>
      </c>
      <c r="K32" s="200">
        <v>1041.2</v>
      </c>
      <c r="L32" s="201"/>
      <c r="M32" s="201"/>
      <c r="N32" s="201"/>
      <c r="O32" s="10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7" s="1" customFormat="1" ht="12.75">
      <c r="A33" s="257">
        <v>35735</v>
      </c>
      <c r="B33" s="258">
        <v>35867</v>
      </c>
      <c r="C33" s="200">
        <v>276.09</v>
      </c>
      <c r="D33" s="200">
        <v>1218.2</v>
      </c>
      <c r="E33" s="200">
        <v>976.7</v>
      </c>
      <c r="F33" s="200">
        <v>1388</v>
      </c>
      <c r="G33" s="200">
        <v>708.4</v>
      </c>
      <c r="H33" s="200">
        <v>1616.4</v>
      </c>
      <c r="I33" s="200">
        <v>606.7</v>
      </c>
      <c r="J33" s="200">
        <v>670.7</v>
      </c>
      <c r="K33" s="200">
        <v>1102.5</v>
      </c>
      <c r="L33" s="201"/>
      <c r="M33" s="201"/>
      <c r="N33" s="201"/>
      <c r="O33" s="10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</row>
    <row r="34" spans="1:27" s="1" customFormat="1" ht="12.75">
      <c r="A34" s="259">
        <v>35765</v>
      </c>
      <c r="B34" s="260">
        <v>35979</v>
      </c>
      <c r="C34" s="203">
        <v>272.26</v>
      </c>
      <c r="D34" s="203">
        <v>1212.3</v>
      </c>
      <c r="E34" s="203">
        <v>977.2</v>
      </c>
      <c r="F34" s="203">
        <v>1392.1</v>
      </c>
      <c r="G34" s="203">
        <v>716.3</v>
      </c>
      <c r="H34" s="203">
        <v>1595.8</v>
      </c>
      <c r="I34" s="203">
        <v>573</v>
      </c>
      <c r="J34" s="203">
        <v>670.9</v>
      </c>
      <c r="K34" s="203">
        <v>1106.9</v>
      </c>
      <c r="L34" s="201"/>
      <c r="M34" s="201"/>
      <c r="N34" s="201"/>
      <c r="O34" s="10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</row>
    <row r="35" spans="1:27" s="1" customFormat="1" ht="12.75">
      <c r="A35" s="257">
        <v>35796</v>
      </c>
      <c r="B35" s="258">
        <v>35949</v>
      </c>
      <c r="C35" s="200">
        <v>277.73</v>
      </c>
      <c r="D35" s="200">
        <v>1229.8</v>
      </c>
      <c r="E35" s="200">
        <v>981.3</v>
      </c>
      <c r="F35" s="200">
        <v>1393.7</v>
      </c>
      <c r="G35" s="200">
        <v>733.3</v>
      </c>
      <c r="H35" s="200">
        <v>1497.9</v>
      </c>
      <c r="I35" s="200">
        <v>562.7</v>
      </c>
      <c r="J35" s="200">
        <v>670</v>
      </c>
      <c r="K35" s="200">
        <v>1106.9</v>
      </c>
      <c r="L35" s="201"/>
      <c r="M35" s="201"/>
      <c r="N35" s="201"/>
      <c r="O35" s="11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</row>
    <row r="36" spans="1:27" s="1" customFormat="1" ht="12.75">
      <c r="A36" s="257">
        <v>35827</v>
      </c>
      <c r="B36" s="258">
        <v>35991</v>
      </c>
      <c r="C36" s="200">
        <v>277.26</v>
      </c>
      <c r="D36" s="200">
        <v>1226.7</v>
      </c>
      <c r="E36" s="200">
        <v>982.3</v>
      </c>
      <c r="F36" s="200">
        <v>1402.2</v>
      </c>
      <c r="G36" s="200">
        <v>738.8</v>
      </c>
      <c r="H36" s="200">
        <v>1470.2</v>
      </c>
      <c r="I36" s="200">
        <v>554.4</v>
      </c>
      <c r="J36" s="200">
        <v>668.9</v>
      </c>
      <c r="K36" s="200">
        <v>1027.8</v>
      </c>
      <c r="L36" s="201"/>
      <c r="M36" s="201"/>
      <c r="N36" s="201"/>
      <c r="O36" s="11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</row>
    <row r="37" spans="1:27" s="1" customFormat="1" ht="12.75">
      <c r="A37" s="257">
        <v>35855</v>
      </c>
      <c r="B37" s="258">
        <v>35991</v>
      </c>
      <c r="C37" s="200">
        <v>277.26</v>
      </c>
      <c r="D37" s="200">
        <v>1228.8</v>
      </c>
      <c r="E37" s="200">
        <v>983.8</v>
      </c>
      <c r="F37" s="200">
        <v>1407.3</v>
      </c>
      <c r="G37" s="200">
        <v>735.8</v>
      </c>
      <c r="H37" s="200">
        <v>1459.3</v>
      </c>
      <c r="I37" s="200">
        <v>585.4</v>
      </c>
      <c r="J37" s="200">
        <v>669.3</v>
      </c>
      <c r="K37" s="200">
        <v>1027.8</v>
      </c>
      <c r="L37" s="201"/>
      <c r="M37" s="201"/>
      <c r="N37" s="201"/>
      <c r="O37" s="1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</row>
    <row r="38" spans="1:27" s="1" customFormat="1" ht="12.75">
      <c r="A38" s="257">
        <v>35886</v>
      </c>
      <c r="B38" s="258">
        <v>36137</v>
      </c>
      <c r="C38" s="200">
        <v>277.73</v>
      </c>
      <c r="D38" s="200">
        <v>1230.2</v>
      </c>
      <c r="E38" s="200">
        <v>986.3</v>
      </c>
      <c r="F38" s="200">
        <v>1407.5</v>
      </c>
      <c r="G38" s="200">
        <v>737.1</v>
      </c>
      <c r="H38" s="200">
        <v>1492.6</v>
      </c>
      <c r="I38" s="200">
        <v>599.6</v>
      </c>
      <c r="J38" s="200">
        <v>668</v>
      </c>
      <c r="K38" s="200">
        <v>1027.8</v>
      </c>
      <c r="L38" s="201"/>
      <c r="M38" s="201"/>
      <c r="N38" s="201"/>
      <c r="O38" s="11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</row>
    <row r="39" spans="1:27" s="1" customFormat="1" ht="12.75">
      <c r="A39" s="257">
        <v>35916</v>
      </c>
      <c r="B39" s="258">
        <v>36137</v>
      </c>
      <c r="C39" s="200">
        <v>277.97</v>
      </c>
      <c r="D39" s="200">
        <v>1235.9</v>
      </c>
      <c r="E39" s="200">
        <v>988.1</v>
      </c>
      <c r="F39" s="200">
        <v>1409.4</v>
      </c>
      <c r="G39" s="200">
        <v>728.1</v>
      </c>
      <c r="H39" s="200">
        <v>1488.9</v>
      </c>
      <c r="I39" s="200">
        <v>565</v>
      </c>
      <c r="J39" s="200">
        <v>673.8</v>
      </c>
      <c r="K39" s="200">
        <v>1027.8</v>
      </c>
      <c r="L39" s="201"/>
      <c r="M39" s="201"/>
      <c r="N39" s="201"/>
      <c r="O39" s="11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</row>
    <row r="40" spans="1:27" s="1" customFormat="1" ht="12.75">
      <c r="A40" s="257">
        <v>35947</v>
      </c>
      <c r="B40" s="258">
        <v>36137</v>
      </c>
      <c r="C40" s="200">
        <v>278.2</v>
      </c>
      <c r="D40" s="200">
        <v>1245.1</v>
      </c>
      <c r="E40" s="200">
        <v>991.2</v>
      </c>
      <c r="F40" s="200">
        <v>1412</v>
      </c>
      <c r="G40" s="200">
        <v>725.3</v>
      </c>
      <c r="H40" s="200">
        <v>1452.9</v>
      </c>
      <c r="I40" s="200">
        <v>547</v>
      </c>
      <c r="J40" s="200">
        <v>661.6</v>
      </c>
      <c r="K40" s="200">
        <v>988.9</v>
      </c>
      <c r="L40" s="201"/>
      <c r="M40" s="201"/>
      <c r="N40" s="201"/>
      <c r="O40" s="1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</row>
    <row r="41" spans="1:27" s="1" customFormat="1" ht="12.75">
      <c r="A41" s="257">
        <v>35977</v>
      </c>
      <c r="B41" s="258">
        <v>36229</v>
      </c>
      <c r="C41" s="200">
        <v>279.15</v>
      </c>
      <c r="D41" s="200">
        <v>1243.7</v>
      </c>
      <c r="E41" s="200">
        <v>991.6</v>
      </c>
      <c r="F41" s="200">
        <v>1415.3</v>
      </c>
      <c r="G41" s="200">
        <v>721.5</v>
      </c>
      <c r="H41" s="200">
        <v>1462.8</v>
      </c>
      <c r="I41" s="200">
        <v>551.6</v>
      </c>
      <c r="J41" s="200">
        <v>654.6</v>
      </c>
      <c r="K41" s="200">
        <v>988.9</v>
      </c>
      <c r="L41" s="201"/>
      <c r="M41" s="201"/>
      <c r="N41" s="201"/>
      <c r="O41" s="11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</row>
    <row r="42" spans="1:27" s="1" customFormat="1" ht="12.75">
      <c r="A42" s="257">
        <v>36008</v>
      </c>
      <c r="B42" s="258">
        <v>36229</v>
      </c>
      <c r="C42" s="200">
        <v>279.86</v>
      </c>
      <c r="D42" s="200">
        <v>1244.2</v>
      </c>
      <c r="E42" s="200">
        <v>993.5</v>
      </c>
      <c r="F42" s="200">
        <v>1416.6</v>
      </c>
      <c r="G42" s="200">
        <v>718.2</v>
      </c>
      <c r="H42" s="200">
        <v>1440.7</v>
      </c>
      <c r="I42" s="200">
        <v>537.8</v>
      </c>
      <c r="J42" s="200">
        <v>662.7</v>
      </c>
      <c r="K42" s="200">
        <v>988.9</v>
      </c>
      <c r="L42" s="201"/>
      <c r="M42" s="201"/>
      <c r="N42" s="201"/>
      <c r="O42" s="11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spans="1:27" s="1" customFormat="1" ht="12.75">
      <c r="A43" s="257">
        <v>36039</v>
      </c>
      <c r="B43" s="258">
        <v>36229</v>
      </c>
      <c r="C43" s="200">
        <v>280.1</v>
      </c>
      <c r="D43" s="200">
        <v>1244.2</v>
      </c>
      <c r="E43" s="200">
        <v>998.6</v>
      </c>
      <c r="F43" s="200">
        <v>1417.7</v>
      </c>
      <c r="G43" s="200">
        <v>707.4</v>
      </c>
      <c r="H43" s="200">
        <v>1441.2</v>
      </c>
      <c r="I43" s="200">
        <v>521.9</v>
      </c>
      <c r="J43" s="200">
        <v>660</v>
      </c>
      <c r="K43" s="200">
        <v>988.9</v>
      </c>
      <c r="L43" s="201"/>
      <c r="M43" s="201"/>
      <c r="N43" s="201"/>
      <c r="O43" s="11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</row>
    <row r="44" spans="1:27" s="1" customFormat="1" ht="12.75">
      <c r="A44" s="257">
        <v>36069</v>
      </c>
      <c r="B44" s="258">
        <v>36288</v>
      </c>
      <c r="C44" s="200">
        <v>280.1</v>
      </c>
      <c r="D44" s="200">
        <v>1245</v>
      </c>
      <c r="E44" s="200">
        <v>1010.9</v>
      </c>
      <c r="F44" s="200">
        <v>1418.8</v>
      </c>
      <c r="G44" s="200">
        <v>689.4</v>
      </c>
      <c r="H44" s="200">
        <v>1458.3</v>
      </c>
      <c r="I44" s="200">
        <v>478.4</v>
      </c>
      <c r="J44" s="200">
        <v>643.5</v>
      </c>
      <c r="K44" s="200">
        <v>988.9</v>
      </c>
      <c r="L44" s="201"/>
      <c r="M44" s="201"/>
      <c r="N44" s="201"/>
      <c r="O44" s="11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45" spans="1:27" s="1" customFormat="1" ht="12.75">
      <c r="A45" s="257">
        <v>36100</v>
      </c>
      <c r="B45" s="258">
        <v>36288</v>
      </c>
      <c r="C45" s="200">
        <v>279.86</v>
      </c>
      <c r="D45" s="200">
        <v>1244.6</v>
      </c>
      <c r="E45" s="200">
        <v>1015.5</v>
      </c>
      <c r="F45" s="200">
        <v>1419.2</v>
      </c>
      <c r="G45" s="200">
        <v>675.7</v>
      </c>
      <c r="H45" s="200">
        <v>1428</v>
      </c>
      <c r="I45" s="200">
        <v>497.9</v>
      </c>
      <c r="J45" s="200">
        <v>637.4</v>
      </c>
      <c r="K45" s="200">
        <v>944.2</v>
      </c>
      <c r="L45" s="201"/>
      <c r="M45" s="201"/>
      <c r="N45" s="201"/>
      <c r="O45" s="11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</row>
    <row r="46" spans="1:27" s="1" customFormat="1" ht="12.75">
      <c r="A46" s="259">
        <v>36130</v>
      </c>
      <c r="B46" s="260">
        <v>36288</v>
      </c>
      <c r="C46" s="203">
        <v>280.58</v>
      </c>
      <c r="D46" s="203">
        <v>1247.9</v>
      </c>
      <c r="E46" s="203">
        <v>1017.7</v>
      </c>
      <c r="F46" s="203">
        <v>1419.9</v>
      </c>
      <c r="G46" s="203">
        <v>670.6</v>
      </c>
      <c r="H46" s="203">
        <v>1404.1</v>
      </c>
      <c r="I46" s="203">
        <v>463.5</v>
      </c>
      <c r="J46" s="203">
        <v>636.7</v>
      </c>
      <c r="K46" s="203">
        <v>944.2</v>
      </c>
      <c r="L46" s="201"/>
      <c r="M46" s="201"/>
      <c r="N46" s="201"/>
      <c r="O46" s="11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</row>
    <row r="47" spans="1:27" s="1" customFormat="1" ht="12.75">
      <c r="A47" s="257">
        <v>36161</v>
      </c>
      <c r="B47" s="258">
        <v>36348</v>
      </c>
      <c r="C47" s="200">
        <v>281.53</v>
      </c>
      <c r="D47" s="200">
        <v>1261.8</v>
      </c>
      <c r="E47" s="200">
        <v>1026.4</v>
      </c>
      <c r="F47" s="200">
        <v>1427.6</v>
      </c>
      <c r="G47" s="200">
        <v>660.9</v>
      </c>
      <c r="H47" s="200">
        <v>1420.7</v>
      </c>
      <c r="I47" s="200">
        <v>454.8</v>
      </c>
      <c r="J47" s="200">
        <v>635.7</v>
      </c>
      <c r="K47" s="200">
        <v>944.2</v>
      </c>
      <c r="L47" s="201"/>
      <c r="M47" s="201"/>
      <c r="N47" s="201"/>
      <c r="O47" s="11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</row>
    <row r="48" spans="1:27" s="1" customFormat="1" ht="12.75">
      <c r="A48" s="257">
        <v>36192</v>
      </c>
      <c r="B48" s="258">
        <v>36348</v>
      </c>
      <c r="C48" s="200">
        <v>281.77</v>
      </c>
      <c r="D48" s="200">
        <v>1266.1</v>
      </c>
      <c r="E48" s="200">
        <v>1034.4</v>
      </c>
      <c r="F48" s="200">
        <v>1429.8</v>
      </c>
      <c r="G48" s="200">
        <v>652.5</v>
      </c>
      <c r="H48" s="200">
        <v>1416</v>
      </c>
      <c r="I48" s="200">
        <v>464</v>
      </c>
      <c r="J48" s="200">
        <v>624</v>
      </c>
      <c r="K48" s="200">
        <v>905.3</v>
      </c>
      <c r="L48" s="201"/>
      <c r="M48" s="201"/>
      <c r="N48" s="201"/>
      <c r="O48" s="11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</row>
    <row r="49" spans="1:27" s="1" customFormat="1" ht="12.75">
      <c r="A49" s="257">
        <v>36220</v>
      </c>
      <c r="B49" s="258">
        <v>36348</v>
      </c>
      <c r="C49" s="200">
        <v>282.73</v>
      </c>
      <c r="D49" s="200">
        <v>1265.3</v>
      </c>
      <c r="E49" s="200">
        <v>1038.1</v>
      </c>
      <c r="F49" s="200">
        <v>1441.2</v>
      </c>
      <c r="G49" s="200">
        <v>648.3</v>
      </c>
      <c r="H49" s="200">
        <v>1422</v>
      </c>
      <c r="I49" s="200">
        <v>466.9</v>
      </c>
      <c r="J49" s="200">
        <v>624</v>
      </c>
      <c r="K49" s="200">
        <v>905.3</v>
      </c>
      <c r="L49" s="201"/>
      <c r="M49" s="201"/>
      <c r="N49" s="201"/>
      <c r="O49" s="11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</row>
    <row r="50" spans="1:27" s="1" customFormat="1" ht="12.75">
      <c r="A50" s="257">
        <v>36251</v>
      </c>
      <c r="B50" s="258">
        <v>36431</v>
      </c>
      <c r="C50" s="200">
        <v>283.69</v>
      </c>
      <c r="D50" s="200">
        <v>1263.1</v>
      </c>
      <c r="E50" s="200">
        <v>1044.3</v>
      </c>
      <c r="F50" s="200">
        <v>1444.8</v>
      </c>
      <c r="G50" s="200">
        <v>647.8</v>
      </c>
      <c r="H50" s="200">
        <v>1509.4</v>
      </c>
      <c r="I50" s="200">
        <v>505.1</v>
      </c>
      <c r="J50" s="200">
        <v>627.4</v>
      </c>
      <c r="K50" s="200">
        <v>905.3</v>
      </c>
      <c r="L50" s="201"/>
      <c r="M50" s="201"/>
      <c r="N50" s="201"/>
      <c r="O50" s="11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</row>
    <row r="51" spans="1:27" s="1" customFormat="1" ht="12.75">
      <c r="A51" s="257">
        <v>36281</v>
      </c>
      <c r="B51" s="258">
        <v>36502</v>
      </c>
      <c r="C51" s="200">
        <v>283.69</v>
      </c>
      <c r="D51" s="200">
        <v>1263.2</v>
      </c>
      <c r="E51" s="200">
        <v>1072</v>
      </c>
      <c r="F51" s="200">
        <v>1445.1</v>
      </c>
      <c r="G51" s="200">
        <v>655.6</v>
      </c>
      <c r="H51" s="200">
        <v>1525</v>
      </c>
      <c r="I51" s="200">
        <v>522.1</v>
      </c>
      <c r="J51" s="200">
        <v>645.4</v>
      </c>
      <c r="K51" s="200">
        <v>949.2</v>
      </c>
      <c r="L51" s="201"/>
      <c r="M51" s="201"/>
      <c r="N51" s="201"/>
      <c r="O51" s="11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</row>
    <row r="52" spans="1:27" s="1" customFormat="1" ht="12.75">
      <c r="A52" s="257">
        <v>36312</v>
      </c>
      <c r="B52" s="258">
        <v>36502</v>
      </c>
      <c r="C52" s="200">
        <v>283.69</v>
      </c>
      <c r="D52" s="200">
        <v>1261.2</v>
      </c>
      <c r="E52" s="200">
        <v>1093.5</v>
      </c>
      <c r="F52" s="200">
        <v>1446.2</v>
      </c>
      <c r="G52" s="200">
        <v>661.6</v>
      </c>
      <c r="H52" s="200">
        <v>1511.6</v>
      </c>
      <c r="I52" s="200">
        <v>506.2</v>
      </c>
      <c r="J52" s="200">
        <v>655.8</v>
      </c>
      <c r="K52" s="200">
        <v>993.1</v>
      </c>
      <c r="L52" s="201"/>
      <c r="M52" s="201"/>
      <c r="N52" s="201"/>
      <c r="O52" s="11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</row>
    <row r="53" spans="1:27" s="1" customFormat="1" ht="12.75">
      <c r="A53" s="257">
        <v>36342</v>
      </c>
      <c r="B53" s="258">
        <v>36502</v>
      </c>
      <c r="C53" s="200">
        <v>284.65</v>
      </c>
      <c r="D53" s="200">
        <v>1260.2</v>
      </c>
      <c r="E53" s="200">
        <v>1107.9</v>
      </c>
      <c r="F53" s="200">
        <v>1445.7</v>
      </c>
      <c r="G53" s="200">
        <v>665.7</v>
      </c>
      <c r="H53" s="200">
        <v>1585.7</v>
      </c>
      <c r="I53" s="200">
        <v>580.7</v>
      </c>
      <c r="J53" s="200">
        <v>671.6</v>
      </c>
      <c r="K53" s="200">
        <v>1024.4</v>
      </c>
      <c r="L53" s="201"/>
      <c r="M53" s="201"/>
      <c r="N53" s="201"/>
      <c r="O53" s="11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</row>
    <row r="54" spans="1:27" s="1" customFormat="1" ht="12.75">
      <c r="A54" s="257">
        <v>36373</v>
      </c>
      <c r="B54" s="258">
        <v>36599</v>
      </c>
      <c r="C54" s="200">
        <v>285.62</v>
      </c>
      <c r="D54" s="200">
        <v>1265.3</v>
      </c>
      <c r="E54" s="200">
        <v>1135.3</v>
      </c>
      <c r="F54" s="200">
        <v>1445.2</v>
      </c>
      <c r="G54" s="200">
        <v>672.3</v>
      </c>
      <c r="H54" s="200">
        <v>1635.7</v>
      </c>
      <c r="I54" s="200">
        <v>570.3</v>
      </c>
      <c r="J54" s="200">
        <v>672.5</v>
      </c>
      <c r="K54" s="200">
        <v>1061.4</v>
      </c>
      <c r="L54" s="201"/>
      <c r="M54" s="201"/>
      <c r="N54" s="201"/>
      <c r="O54" s="11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</row>
    <row r="55" spans="1:27" s="1" customFormat="1" ht="12.75">
      <c r="A55" s="257">
        <v>36404</v>
      </c>
      <c r="B55" s="258">
        <v>36663</v>
      </c>
      <c r="C55" s="200">
        <v>286.11</v>
      </c>
      <c r="D55" s="200">
        <v>1264.9</v>
      </c>
      <c r="E55" s="200">
        <v>1185.5</v>
      </c>
      <c r="F55" s="200">
        <v>1446.7</v>
      </c>
      <c r="G55" s="200">
        <v>672.3</v>
      </c>
      <c r="H55" s="200">
        <v>1660</v>
      </c>
      <c r="I55" s="200">
        <v>599.4</v>
      </c>
      <c r="J55" s="200">
        <v>700.7</v>
      </c>
      <c r="K55" s="200">
        <v>1061.4</v>
      </c>
      <c r="L55" s="201"/>
      <c r="M55" s="201"/>
      <c r="N55" s="201"/>
      <c r="O55" s="11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</row>
    <row r="56" spans="1:27" s="1" customFormat="1" ht="12.75">
      <c r="A56" s="257">
        <v>36434</v>
      </c>
      <c r="B56" s="258">
        <v>36663</v>
      </c>
      <c r="C56" s="200">
        <v>286.11</v>
      </c>
      <c r="D56" s="200">
        <v>1265.1</v>
      </c>
      <c r="E56" s="200">
        <v>1199.4</v>
      </c>
      <c r="F56" s="200">
        <v>1448.1</v>
      </c>
      <c r="G56" s="200">
        <v>674.3</v>
      </c>
      <c r="H56" s="200">
        <v>1681.9</v>
      </c>
      <c r="I56" s="200">
        <v>579.4</v>
      </c>
      <c r="J56" s="200">
        <v>686.6</v>
      </c>
      <c r="K56" s="200">
        <v>1142.1</v>
      </c>
      <c r="L56" s="201"/>
      <c r="M56" s="201"/>
      <c r="N56" s="201"/>
      <c r="O56" s="11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</row>
    <row r="57" spans="1:27" s="1" customFormat="1" ht="12.75">
      <c r="A57" s="257">
        <v>36465</v>
      </c>
      <c r="B57" s="258">
        <v>36663</v>
      </c>
      <c r="C57" s="200">
        <v>286.59</v>
      </c>
      <c r="D57" s="200">
        <v>1265.3</v>
      </c>
      <c r="E57" s="200">
        <v>1223.3</v>
      </c>
      <c r="F57" s="200">
        <v>1449.5</v>
      </c>
      <c r="G57" s="200">
        <v>664</v>
      </c>
      <c r="H57" s="200">
        <v>1708.3</v>
      </c>
      <c r="I57" s="200">
        <v>600.7</v>
      </c>
      <c r="J57" s="200">
        <v>694</v>
      </c>
      <c r="K57" s="200">
        <v>1151.1</v>
      </c>
      <c r="L57" s="201"/>
      <c r="M57" s="201"/>
      <c r="N57" s="201"/>
      <c r="O57" s="11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</row>
    <row r="58" spans="1:27" s="1" customFormat="1" ht="12.75">
      <c r="A58" s="259">
        <v>36495</v>
      </c>
      <c r="B58" s="260">
        <v>36743</v>
      </c>
      <c r="C58" s="203">
        <v>287.57</v>
      </c>
      <c r="D58" s="203">
        <v>1265.5</v>
      </c>
      <c r="E58" s="203">
        <v>1226.3</v>
      </c>
      <c r="F58" s="203">
        <v>1450.8</v>
      </c>
      <c r="G58" s="203">
        <v>668.4</v>
      </c>
      <c r="H58" s="203">
        <v>1736.9</v>
      </c>
      <c r="I58" s="203">
        <v>627.2</v>
      </c>
      <c r="J58" s="203">
        <v>699.4</v>
      </c>
      <c r="K58" s="203">
        <v>1216.3</v>
      </c>
      <c r="L58" s="201"/>
      <c r="M58" s="201"/>
      <c r="N58" s="201"/>
      <c r="O58" s="11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</row>
    <row r="59" spans="1:27" s="1" customFormat="1" ht="12.75">
      <c r="A59" s="257">
        <v>36526</v>
      </c>
      <c r="B59" s="258">
        <v>36743</v>
      </c>
      <c r="C59" s="200">
        <v>288.3</v>
      </c>
      <c r="D59" s="200">
        <v>1265.8</v>
      </c>
      <c r="E59" s="200">
        <v>1235.3</v>
      </c>
      <c r="F59" s="200">
        <v>1455.8</v>
      </c>
      <c r="G59" s="200">
        <v>679.7</v>
      </c>
      <c r="H59" s="200">
        <v>1762.7</v>
      </c>
      <c r="I59" s="200">
        <v>653.5</v>
      </c>
      <c r="J59" s="200">
        <v>730</v>
      </c>
      <c r="K59" s="200">
        <v>1259.8</v>
      </c>
      <c r="L59" s="201"/>
      <c r="M59" s="201"/>
      <c r="N59" s="201"/>
      <c r="O59" s="11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</row>
    <row r="60" spans="1:27" s="1" customFormat="1" ht="12.75">
      <c r="A60" s="257">
        <v>36557</v>
      </c>
      <c r="B60" s="258">
        <v>36743</v>
      </c>
      <c r="C60" s="200">
        <v>288.55</v>
      </c>
      <c r="D60" s="200">
        <v>1259.4</v>
      </c>
      <c r="E60" s="200">
        <v>1238.1</v>
      </c>
      <c r="F60" s="200">
        <v>1458.9</v>
      </c>
      <c r="G60" s="200">
        <v>686.7</v>
      </c>
      <c r="H60" s="200">
        <v>1826.6</v>
      </c>
      <c r="I60" s="200">
        <v>657.3</v>
      </c>
      <c r="J60" s="200">
        <v>756.1</v>
      </c>
      <c r="K60" s="200">
        <v>1339.8</v>
      </c>
      <c r="L60" s="201"/>
      <c r="M60" s="201"/>
      <c r="N60" s="201"/>
      <c r="O60" s="11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</row>
    <row r="61" spans="1:27" s="1" customFormat="1" ht="12.75">
      <c r="A61" s="257">
        <v>36586</v>
      </c>
      <c r="B61" s="258">
        <v>36795</v>
      </c>
      <c r="C61" s="200">
        <v>289.53</v>
      </c>
      <c r="D61" s="200">
        <v>1242.9</v>
      </c>
      <c r="E61" s="200">
        <v>1250.3</v>
      </c>
      <c r="F61" s="200">
        <v>1461.8</v>
      </c>
      <c r="G61" s="200">
        <v>691</v>
      </c>
      <c r="H61" s="200">
        <v>1918.3</v>
      </c>
      <c r="I61" s="200">
        <v>647.6</v>
      </c>
      <c r="J61" s="200">
        <v>762.1</v>
      </c>
      <c r="K61" s="200">
        <v>1398.3</v>
      </c>
      <c r="L61" s="201"/>
      <c r="M61" s="201"/>
      <c r="N61" s="201"/>
      <c r="O61" s="11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</row>
    <row r="62" spans="1:27" s="1" customFormat="1" ht="12.75">
      <c r="A62" s="257">
        <v>36617</v>
      </c>
      <c r="B62" s="258">
        <v>36795</v>
      </c>
      <c r="C62" s="200">
        <v>290.51</v>
      </c>
      <c r="D62" s="200">
        <v>1242.4</v>
      </c>
      <c r="E62" s="200">
        <v>1258.4</v>
      </c>
      <c r="F62" s="200">
        <v>1465.7</v>
      </c>
      <c r="G62" s="200">
        <v>700.3</v>
      </c>
      <c r="H62" s="200">
        <v>1888</v>
      </c>
      <c r="I62" s="200">
        <v>637</v>
      </c>
      <c r="J62" s="200">
        <v>755.4</v>
      </c>
      <c r="K62" s="200">
        <v>1458.2</v>
      </c>
      <c r="L62" s="201"/>
      <c r="M62" s="201"/>
      <c r="N62" s="201"/>
      <c r="O62" s="11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</row>
    <row r="63" spans="1:27" s="1" customFormat="1" ht="12.75">
      <c r="A63" s="257">
        <v>36647</v>
      </c>
      <c r="B63" s="258">
        <v>36795</v>
      </c>
      <c r="C63" s="200">
        <v>291</v>
      </c>
      <c r="D63" s="200">
        <v>1246.7</v>
      </c>
      <c r="E63" s="200">
        <v>1269.2</v>
      </c>
      <c r="F63" s="200">
        <v>1466.3</v>
      </c>
      <c r="G63" s="200">
        <v>708.3</v>
      </c>
      <c r="H63" s="200">
        <v>1832.4</v>
      </c>
      <c r="I63" s="200">
        <v>706.8</v>
      </c>
      <c r="J63" s="200">
        <v>756.8</v>
      </c>
      <c r="K63" s="200">
        <v>1447.7</v>
      </c>
      <c r="L63" s="201"/>
      <c r="M63" s="201"/>
      <c r="N63" s="201"/>
      <c r="O63" s="11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</row>
    <row r="64" spans="1:27" s="1" customFormat="1" ht="12.75">
      <c r="A64" s="257">
        <v>36678</v>
      </c>
      <c r="B64" s="258">
        <v>36883</v>
      </c>
      <c r="C64" s="200">
        <v>291.75</v>
      </c>
      <c r="D64" s="200">
        <v>1240.8</v>
      </c>
      <c r="E64" s="200">
        <v>1270.2</v>
      </c>
      <c r="F64" s="200">
        <v>1467.9</v>
      </c>
      <c r="G64" s="200">
        <v>709.1</v>
      </c>
      <c r="H64" s="200">
        <v>1900.6</v>
      </c>
      <c r="I64" s="200">
        <v>663</v>
      </c>
      <c r="J64" s="200">
        <v>760.9</v>
      </c>
      <c r="K64" s="200">
        <v>1447.7</v>
      </c>
      <c r="L64" s="201"/>
      <c r="M64" s="201"/>
      <c r="N64" s="201"/>
      <c r="O64" s="11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</row>
    <row r="65" spans="1:27" s="1" customFormat="1" ht="12.75">
      <c r="A65" s="257">
        <v>36708</v>
      </c>
      <c r="B65" s="258">
        <v>36883</v>
      </c>
      <c r="C65" s="200">
        <v>293.23</v>
      </c>
      <c r="D65" s="200">
        <v>1240.5</v>
      </c>
      <c r="E65" s="200">
        <v>1268.7</v>
      </c>
      <c r="F65" s="200">
        <v>1469.4</v>
      </c>
      <c r="G65" s="200">
        <v>710.6</v>
      </c>
      <c r="H65" s="200">
        <v>1920.4</v>
      </c>
      <c r="I65" s="200">
        <v>686.8</v>
      </c>
      <c r="J65" s="200">
        <v>760.5</v>
      </c>
      <c r="K65" s="200">
        <v>1447.7</v>
      </c>
      <c r="L65" s="201"/>
      <c r="M65" s="201"/>
      <c r="N65" s="201"/>
      <c r="O65" s="11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</row>
    <row r="66" spans="1:27" s="1" customFormat="1" ht="12.75">
      <c r="A66" s="257">
        <v>36739</v>
      </c>
      <c r="B66" s="258">
        <v>36883</v>
      </c>
      <c r="C66" s="200">
        <v>294.23</v>
      </c>
      <c r="D66" s="200">
        <v>1242.5</v>
      </c>
      <c r="E66" s="200">
        <v>1259.9</v>
      </c>
      <c r="F66" s="200">
        <v>1471.9</v>
      </c>
      <c r="G66" s="200">
        <v>713.1</v>
      </c>
      <c r="H66" s="200">
        <v>1894.6</v>
      </c>
      <c r="I66" s="200">
        <v>735.6</v>
      </c>
      <c r="J66" s="200">
        <v>763.2</v>
      </c>
      <c r="K66" s="200">
        <v>1447.7</v>
      </c>
      <c r="L66" s="201"/>
      <c r="M66" s="201"/>
      <c r="N66" s="201"/>
      <c r="O66" s="11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</row>
    <row r="67" spans="1:27" s="1" customFormat="1" ht="12.75">
      <c r="A67" s="257">
        <v>36770</v>
      </c>
      <c r="B67" s="258">
        <v>36938</v>
      </c>
      <c r="C67" s="200">
        <v>294.98</v>
      </c>
      <c r="D67" s="200">
        <v>1242.8</v>
      </c>
      <c r="E67" s="200">
        <v>1251.9</v>
      </c>
      <c r="F67" s="200">
        <v>1472</v>
      </c>
      <c r="G67" s="200">
        <v>708.2</v>
      </c>
      <c r="H67" s="200">
        <v>1991.2</v>
      </c>
      <c r="I67" s="200">
        <v>804.6</v>
      </c>
      <c r="J67" s="200">
        <v>786.1</v>
      </c>
      <c r="K67" s="200">
        <v>1447.7</v>
      </c>
      <c r="L67" s="201"/>
      <c r="M67" s="201"/>
      <c r="N67" s="201"/>
      <c r="O67" s="11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</row>
    <row r="68" spans="1:27" s="1" customFormat="1" ht="12.75">
      <c r="A68" s="257">
        <v>36800</v>
      </c>
      <c r="B68" s="258">
        <v>36938</v>
      </c>
      <c r="C68" s="200">
        <v>295.73</v>
      </c>
      <c r="D68" s="200">
        <v>1242.6</v>
      </c>
      <c r="E68" s="200">
        <v>1248.5</v>
      </c>
      <c r="F68" s="200">
        <v>1473.2</v>
      </c>
      <c r="G68" s="200">
        <v>716</v>
      </c>
      <c r="H68" s="200">
        <v>2071.1</v>
      </c>
      <c r="I68" s="200">
        <v>794.7</v>
      </c>
      <c r="J68" s="200">
        <v>799.6</v>
      </c>
      <c r="K68" s="200">
        <v>1498.3</v>
      </c>
      <c r="L68" s="201"/>
      <c r="M68" s="201"/>
      <c r="N68" s="201"/>
      <c r="O68" s="11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</row>
    <row r="69" spans="1:27" s="1" customFormat="1" ht="12.75">
      <c r="A69" s="257">
        <v>36831</v>
      </c>
      <c r="B69" s="258">
        <v>36981</v>
      </c>
      <c r="C69" s="200">
        <v>296.24</v>
      </c>
      <c r="D69" s="200">
        <v>1244.1</v>
      </c>
      <c r="E69" s="200">
        <v>1244.2</v>
      </c>
      <c r="F69" s="200">
        <v>1474.4</v>
      </c>
      <c r="G69" s="200">
        <v>714.2</v>
      </c>
      <c r="H69" s="200">
        <v>2101.3</v>
      </c>
      <c r="I69" s="200">
        <v>750.9</v>
      </c>
      <c r="J69" s="200">
        <v>800.4</v>
      </c>
      <c r="K69" s="200">
        <v>1585.6</v>
      </c>
      <c r="L69" s="201"/>
      <c r="M69" s="201"/>
      <c r="N69" s="201"/>
      <c r="O69" s="11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</row>
    <row r="70" spans="1:27" s="1" customFormat="1" ht="12.75">
      <c r="A70" s="259">
        <v>36861</v>
      </c>
      <c r="B70" s="260">
        <v>36981</v>
      </c>
      <c r="C70" s="203">
        <v>296.99</v>
      </c>
      <c r="D70" s="203">
        <v>1247.4</v>
      </c>
      <c r="E70" s="203">
        <v>1238.3</v>
      </c>
      <c r="F70" s="203">
        <v>1475.8</v>
      </c>
      <c r="G70" s="203">
        <v>719.3</v>
      </c>
      <c r="H70" s="203">
        <v>2079.6</v>
      </c>
      <c r="I70" s="203">
        <v>739.2</v>
      </c>
      <c r="J70" s="203">
        <v>801</v>
      </c>
      <c r="K70" s="203">
        <v>1585.6</v>
      </c>
      <c r="L70" s="201"/>
      <c r="M70" s="201"/>
      <c r="N70" s="201"/>
      <c r="O70" s="11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</row>
    <row r="71" spans="1:27" s="1" customFormat="1" ht="12.75">
      <c r="A71" s="257">
        <v>36892</v>
      </c>
      <c r="B71" s="258">
        <v>37078</v>
      </c>
      <c r="C71" s="200">
        <v>296.99</v>
      </c>
      <c r="D71" s="200">
        <v>1259.2</v>
      </c>
      <c r="E71" s="200">
        <v>1230.9</v>
      </c>
      <c r="F71" s="200">
        <v>1479.6</v>
      </c>
      <c r="G71" s="200">
        <v>718.1</v>
      </c>
      <c r="H71" s="200">
        <v>1931.2</v>
      </c>
      <c r="I71" s="200">
        <v>682.8</v>
      </c>
      <c r="J71" s="200">
        <v>789</v>
      </c>
      <c r="K71" s="200">
        <v>1585.6</v>
      </c>
      <c r="L71" s="201"/>
      <c r="M71" s="201"/>
      <c r="N71" s="201"/>
      <c r="O71" s="11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</row>
    <row r="72" spans="1:27" s="1" customFormat="1" ht="12.75">
      <c r="A72" s="257">
        <v>36923</v>
      </c>
      <c r="B72" s="258">
        <v>37078</v>
      </c>
      <c r="C72" s="200">
        <v>297.75</v>
      </c>
      <c r="D72" s="200">
        <v>1281.5</v>
      </c>
      <c r="E72" s="200">
        <v>1228.4</v>
      </c>
      <c r="F72" s="200">
        <v>1482.7</v>
      </c>
      <c r="G72" s="200">
        <v>718.6</v>
      </c>
      <c r="H72" s="200">
        <v>1875</v>
      </c>
      <c r="I72" s="200">
        <v>685.1</v>
      </c>
      <c r="J72" s="200">
        <v>788.1</v>
      </c>
      <c r="K72" s="200">
        <v>1458.8</v>
      </c>
      <c r="L72" s="201"/>
      <c r="M72" s="201"/>
      <c r="N72" s="201"/>
      <c r="O72" s="11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</row>
    <row r="73" spans="1:27" s="1" customFormat="1" ht="12.75">
      <c r="A73" s="257">
        <v>36951</v>
      </c>
      <c r="B73" s="258">
        <v>37078</v>
      </c>
      <c r="C73" s="200">
        <v>298.76</v>
      </c>
      <c r="D73" s="200">
        <v>1284.9</v>
      </c>
      <c r="E73" s="200">
        <v>1221.9</v>
      </c>
      <c r="F73" s="200">
        <v>1484.3</v>
      </c>
      <c r="G73" s="200">
        <v>719.7</v>
      </c>
      <c r="H73" s="200">
        <v>1876.4</v>
      </c>
      <c r="I73" s="200">
        <v>686</v>
      </c>
      <c r="J73" s="200">
        <v>796.2</v>
      </c>
      <c r="K73" s="200">
        <v>1439.3</v>
      </c>
      <c r="L73" s="202"/>
      <c r="M73" s="202"/>
      <c r="N73" s="201"/>
      <c r="O73" s="11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</row>
    <row r="74" spans="1:27" s="1" customFormat="1" ht="12.75">
      <c r="A74" s="257">
        <v>36982</v>
      </c>
      <c r="B74" s="258">
        <v>37140</v>
      </c>
      <c r="C74" s="200">
        <v>300.03</v>
      </c>
      <c r="D74" s="200">
        <v>1283.1</v>
      </c>
      <c r="E74" s="200">
        <v>1222.7</v>
      </c>
      <c r="F74" s="200">
        <v>1484.8</v>
      </c>
      <c r="G74" s="200">
        <v>710.1</v>
      </c>
      <c r="H74" s="200">
        <v>1863.2</v>
      </c>
      <c r="I74" s="200">
        <v>670.7</v>
      </c>
      <c r="J74" s="200">
        <v>783</v>
      </c>
      <c r="K74" s="200">
        <v>1439.3</v>
      </c>
      <c r="L74" s="202"/>
      <c r="M74" s="202"/>
      <c r="N74" s="201"/>
      <c r="O74" s="11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</row>
    <row r="75" spans="1:27" s="1" customFormat="1" ht="12.75">
      <c r="A75" s="257">
        <v>37012</v>
      </c>
      <c r="B75" s="258">
        <v>37140</v>
      </c>
      <c r="C75" s="200">
        <v>301.05</v>
      </c>
      <c r="D75" s="200">
        <v>1285.8</v>
      </c>
      <c r="E75" s="200">
        <v>1224.1</v>
      </c>
      <c r="F75" s="200">
        <v>1485.7</v>
      </c>
      <c r="G75" s="200">
        <v>716.4</v>
      </c>
      <c r="H75" s="200">
        <v>1886.9</v>
      </c>
      <c r="I75" s="200">
        <v>690.2</v>
      </c>
      <c r="J75" s="200">
        <v>789.2</v>
      </c>
      <c r="K75" s="200">
        <v>1439.3</v>
      </c>
      <c r="L75" s="202"/>
      <c r="M75" s="202"/>
      <c r="N75" s="201"/>
      <c r="O75" s="11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</row>
    <row r="76" spans="1:27" s="1" customFormat="1" ht="12.75">
      <c r="A76" s="257">
        <v>37043</v>
      </c>
      <c r="B76" s="258">
        <v>37226</v>
      </c>
      <c r="C76" s="200">
        <v>301.82</v>
      </c>
      <c r="D76" s="200">
        <v>1289.2</v>
      </c>
      <c r="E76" s="200">
        <v>1218.8</v>
      </c>
      <c r="F76" s="200">
        <v>1486.5</v>
      </c>
      <c r="G76" s="200">
        <v>718.7</v>
      </c>
      <c r="H76" s="200">
        <v>1904.9</v>
      </c>
      <c r="I76" s="200">
        <v>674</v>
      </c>
      <c r="J76" s="200">
        <v>804.5</v>
      </c>
      <c r="K76" s="200">
        <v>1439.3</v>
      </c>
      <c r="L76" s="202"/>
      <c r="M76" s="202"/>
      <c r="N76" s="201"/>
      <c r="O76" s="11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</row>
    <row r="77" spans="1:27" s="1" customFormat="1" ht="12.75">
      <c r="A77" s="257">
        <v>37073</v>
      </c>
      <c r="B77" s="258">
        <v>37226</v>
      </c>
      <c r="C77" s="200">
        <v>302.33</v>
      </c>
      <c r="D77" s="200">
        <v>1286.6</v>
      </c>
      <c r="E77" s="200">
        <v>1213</v>
      </c>
      <c r="F77" s="200">
        <v>1486.3</v>
      </c>
      <c r="G77" s="200">
        <v>717.1</v>
      </c>
      <c r="H77" s="200">
        <v>1899.2</v>
      </c>
      <c r="I77" s="200">
        <v>633.7</v>
      </c>
      <c r="J77" s="200">
        <v>797.9</v>
      </c>
      <c r="K77" s="200">
        <v>1439.3</v>
      </c>
      <c r="L77" s="202"/>
      <c r="M77" s="202"/>
      <c r="N77" s="201"/>
      <c r="O77" s="11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</row>
    <row r="78" spans="1:27" s="1" customFormat="1" ht="12.75">
      <c r="A78" s="257">
        <v>37104</v>
      </c>
      <c r="B78" s="258">
        <v>37226</v>
      </c>
      <c r="C78" s="200">
        <v>302.85</v>
      </c>
      <c r="D78" s="200">
        <v>1296.7</v>
      </c>
      <c r="E78" s="200">
        <v>1211</v>
      </c>
      <c r="F78" s="200">
        <v>1487</v>
      </c>
      <c r="G78" s="200">
        <v>712.6</v>
      </c>
      <c r="H78" s="200">
        <v>1890.6</v>
      </c>
      <c r="I78" s="200">
        <v>583</v>
      </c>
      <c r="J78" s="200">
        <v>796.9</v>
      </c>
      <c r="K78" s="200">
        <v>1439.3</v>
      </c>
      <c r="L78" s="202"/>
      <c r="M78" s="202"/>
      <c r="N78" s="201"/>
      <c r="O78" s="11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</row>
    <row r="79" spans="1:27" s="1" customFormat="1" ht="12.75">
      <c r="A79" s="257">
        <v>37135</v>
      </c>
      <c r="B79" s="258">
        <v>37293</v>
      </c>
      <c r="C79" s="200">
        <v>302.85</v>
      </c>
      <c r="D79" s="200">
        <v>1296.8</v>
      </c>
      <c r="E79" s="200">
        <v>1202</v>
      </c>
      <c r="F79" s="200">
        <v>1485.6</v>
      </c>
      <c r="G79" s="200">
        <v>723.1</v>
      </c>
      <c r="H79" s="200">
        <v>1898.5</v>
      </c>
      <c r="I79" s="200">
        <v>561.2</v>
      </c>
      <c r="J79" s="200">
        <v>788.2</v>
      </c>
      <c r="K79" s="200">
        <v>1439.3</v>
      </c>
      <c r="L79" s="202"/>
      <c r="M79" s="202"/>
      <c r="N79" s="201"/>
      <c r="O79" s="11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</row>
    <row r="80" spans="1:27" s="1" customFormat="1" ht="12.75">
      <c r="A80" s="257">
        <v>37165</v>
      </c>
      <c r="B80" s="258">
        <v>37293</v>
      </c>
      <c r="C80" s="200">
        <v>302.59</v>
      </c>
      <c r="D80" s="200">
        <v>1297.2</v>
      </c>
      <c r="E80" s="200">
        <v>1204</v>
      </c>
      <c r="F80" s="200">
        <v>1484.3</v>
      </c>
      <c r="G80" s="200">
        <v>710.1</v>
      </c>
      <c r="H80" s="200">
        <v>1860.3</v>
      </c>
      <c r="I80" s="200">
        <v>545.2</v>
      </c>
      <c r="J80" s="200">
        <v>777.4</v>
      </c>
      <c r="K80" s="200">
        <v>1439.3</v>
      </c>
      <c r="L80" s="202"/>
      <c r="M80" s="202"/>
      <c r="N80" s="201"/>
      <c r="O80" s="11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</row>
    <row r="81" spans="1:27" s="1" customFormat="1" ht="12.75">
      <c r="A81" s="257">
        <v>37196</v>
      </c>
      <c r="B81" s="258">
        <v>37370</v>
      </c>
      <c r="C81" s="200">
        <v>302.33</v>
      </c>
      <c r="D81" s="200">
        <v>1299</v>
      </c>
      <c r="E81" s="200">
        <v>1198.3</v>
      </c>
      <c r="F81" s="200">
        <v>1484.2</v>
      </c>
      <c r="G81" s="200">
        <v>706.7</v>
      </c>
      <c r="H81" s="200">
        <v>1778.3</v>
      </c>
      <c r="I81" s="200">
        <v>576.1</v>
      </c>
      <c r="J81" s="200">
        <v>764.6</v>
      </c>
      <c r="K81" s="200">
        <v>1390.2</v>
      </c>
      <c r="L81" s="202"/>
      <c r="M81" s="202"/>
      <c r="N81" s="201"/>
      <c r="O81" s="11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</row>
    <row r="82" spans="1:27" s="1" customFormat="1" ht="12.75">
      <c r="A82" s="259">
        <v>37226</v>
      </c>
      <c r="B82" s="260">
        <v>37370</v>
      </c>
      <c r="C82" s="203">
        <v>303.36</v>
      </c>
      <c r="D82" s="203">
        <v>1297.3</v>
      </c>
      <c r="E82" s="203">
        <v>1197.6</v>
      </c>
      <c r="F82" s="203">
        <v>1482.4</v>
      </c>
      <c r="G82" s="203">
        <v>688.5</v>
      </c>
      <c r="H82" s="203">
        <v>1760.5</v>
      </c>
      <c r="I82" s="203">
        <v>590.2</v>
      </c>
      <c r="J82" s="203">
        <v>773.8</v>
      </c>
      <c r="K82" s="203">
        <v>1341.1</v>
      </c>
      <c r="L82" s="202"/>
      <c r="M82" s="202"/>
      <c r="N82" s="201"/>
      <c r="O82" s="11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</row>
    <row r="83" spans="1:27" s="1" customFormat="1" ht="12.75">
      <c r="A83" s="257">
        <v>37257</v>
      </c>
      <c r="B83" s="258">
        <v>37469</v>
      </c>
      <c r="C83" s="200">
        <v>303.1</v>
      </c>
      <c r="D83" s="200">
        <v>1322.5</v>
      </c>
      <c r="E83" s="200">
        <v>1209.9</v>
      </c>
      <c r="F83" s="200">
        <v>1488.6</v>
      </c>
      <c r="G83" s="200">
        <v>697.2</v>
      </c>
      <c r="H83" s="200">
        <v>1825.7</v>
      </c>
      <c r="I83" s="200">
        <v>609.7</v>
      </c>
      <c r="J83" s="200">
        <v>768.3</v>
      </c>
      <c r="K83" s="200">
        <v>1341.1</v>
      </c>
      <c r="L83" s="202"/>
      <c r="M83" s="202"/>
      <c r="N83" s="201"/>
      <c r="O83" s="11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</row>
    <row r="84" spans="1:27" s="1" customFormat="1" ht="12.75">
      <c r="A84" s="257">
        <v>37288</v>
      </c>
      <c r="B84" s="258">
        <v>37469</v>
      </c>
      <c r="C84" s="200">
        <v>303.36</v>
      </c>
      <c r="D84" s="200">
        <v>1330.6</v>
      </c>
      <c r="E84" s="200">
        <v>1205.1</v>
      </c>
      <c r="F84" s="200">
        <v>1489.9</v>
      </c>
      <c r="G84" s="200">
        <v>692.4</v>
      </c>
      <c r="H84" s="200">
        <v>1828.2</v>
      </c>
      <c r="I84" s="200">
        <v>642.2</v>
      </c>
      <c r="J84" s="200">
        <v>776.4</v>
      </c>
      <c r="K84" s="200">
        <v>1341.1</v>
      </c>
      <c r="L84" s="202"/>
      <c r="M84" s="202"/>
      <c r="N84" s="201"/>
      <c r="O84" s="11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</row>
    <row r="85" spans="1:27" s="1" customFormat="1" ht="12.75">
      <c r="A85" s="257">
        <v>37316</v>
      </c>
      <c r="B85" s="258">
        <v>37469</v>
      </c>
      <c r="C85" s="200">
        <v>305.42</v>
      </c>
      <c r="D85" s="200">
        <v>1335.4</v>
      </c>
      <c r="E85" s="200">
        <v>1209.1</v>
      </c>
      <c r="F85" s="200">
        <v>1492.3</v>
      </c>
      <c r="G85" s="200">
        <v>691.3</v>
      </c>
      <c r="H85" s="200">
        <v>1866.7</v>
      </c>
      <c r="I85" s="200">
        <v>655.3</v>
      </c>
      <c r="J85" s="200">
        <v>784.4</v>
      </c>
      <c r="K85" s="200">
        <v>1341.1</v>
      </c>
      <c r="L85" s="202"/>
      <c r="M85" s="202"/>
      <c r="N85" s="201"/>
      <c r="O85" s="11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</row>
    <row r="86" spans="1:27" s="1" customFormat="1" ht="12.75">
      <c r="A86" s="257">
        <v>37347</v>
      </c>
      <c r="B86" s="258">
        <v>37595</v>
      </c>
      <c r="C86" s="200">
        <v>309.06</v>
      </c>
      <c r="D86" s="200">
        <v>1339.1</v>
      </c>
      <c r="E86" s="200">
        <v>1211.5</v>
      </c>
      <c r="F86" s="200">
        <v>1493.2</v>
      </c>
      <c r="G86" s="200">
        <v>689.1</v>
      </c>
      <c r="H86" s="200">
        <v>1938</v>
      </c>
      <c r="I86" s="200">
        <v>642.2</v>
      </c>
      <c r="J86" s="200">
        <v>785.2</v>
      </c>
      <c r="K86" s="200">
        <v>1446.5</v>
      </c>
      <c r="L86" s="202"/>
      <c r="M86" s="202"/>
      <c r="N86" s="201"/>
      <c r="O86" s="11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</row>
    <row r="87" spans="1:27" s="1" customFormat="1" ht="12.75">
      <c r="A87" s="257">
        <v>37377</v>
      </c>
      <c r="B87" s="258">
        <v>37595</v>
      </c>
      <c r="C87" s="200">
        <v>310.11</v>
      </c>
      <c r="D87" s="200">
        <v>1341.1</v>
      </c>
      <c r="E87" s="200">
        <v>1213.6</v>
      </c>
      <c r="F87" s="200">
        <v>1495.7</v>
      </c>
      <c r="G87" s="200">
        <v>697.5</v>
      </c>
      <c r="H87" s="200">
        <v>1943.9</v>
      </c>
      <c r="I87" s="200">
        <v>625.3</v>
      </c>
      <c r="J87" s="200">
        <v>764.4</v>
      </c>
      <c r="K87" s="200">
        <v>1479.5</v>
      </c>
      <c r="L87" s="202"/>
      <c r="M87" s="202"/>
      <c r="N87" s="201"/>
      <c r="O87" s="11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</row>
    <row r="88" spans="1:27" s="1" customFormat="1" ht="12.75">
      <c r="A88" s="257">
        <v>37408</v>
      </c>
      <c r="B88" s="258">
        <v>37595</v>
      </c>
      <c r="C88" s="200">
        <v>310.11</v>
      </c>
      <c r="D88" s="200">
        <v>1342.8</v>
      </c>
      <c r="E88" s="200">
        <v>1217.2</v>
      </c>
      <c r="F88" s="200">
        <v>1498.3</v>
      </c>
      <c r="G88" s="200">
        <v>707.3</v>
      </c>
      <c r="H88" s="200">
        <v>1902.6</v>
      </c>
      <c r="I88" s="200">
        <v>618.4</v>
      </c>
      <c r="J88" s="200">
        <v>762.9</v>
      </c>
      <c r="K88" s="200">
        <v>1587.9</v>
      </c>
      <c r="L88" s="202"/>
      <c r="M88" s="202"/>
      <c r="N88" s="201"/>
      <c r="O88" s="11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</row>
    <row r="89" spans="1:27" s="1" customFormat="1" ht="12.75">
      <c r="A89" s="257">
        <v>37438</v>
      </c>
      <c r="B89" s="258">
        <v>37652</v>
      </c>
      <c r="C89" s="200">
        <v>308.26</v>
      </c>
      <c r="D89" s="200">
        <v>1342.3</v>
      </c>
      <c r="E89" s="200">
        <v>1217.1</v>
      </c>
      <c r="F89" s="200">
        <v>1500.6</v>
      </c>
      <c r="G89" s="200">
        <v>710.5</v>
      </c>
      <c r="H89" s="200">
        <v>1881.5</v>
      </c>
      <c r="I89" s="200">
        <v>574.1</v>
      </c>
      <c r="J89" s="200">
        <v>747.1</v>
      </c>
      <c r="K89" s="200">
        <v>1587.9</v>
      </c>
      <c r="L89" s="202"/>
      <c r="M89" s="202"/>
      <c r="N89" s="201"/>
      <c r="O89" s="11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</row>
    <row r="90" spans="1:27" s="1" customFormat="1" ht="12.75">
      <c r="A90" s="257">
        <v>37469</v>
      </c>
      <c r="B90" s="258">
        <v>37652</v>
      </c>
      <c r="C90" s="200">
        <v>309.05</v>
      </c>
      <c r="D90" s="200">
        <v>1342.9</v>
      </c>
      <c r="E90" s="200">
        <v>1217.3</v>
      </c>
      <c r="F90" s="200">
        <v>1501.6</v>
      </c>
      <c r="G90" s="200">
        <v>712.5</v>
      </c>
      <c r="H90" s="200">
        <v>1892.8</v>
      </c>
      <c r="I90" s="200">
        <v>544.8</v>
      </c>
      <c r="J90" s="200">
        <v>760.4</v>
      </c>
      <c r="K90" s="200">
        <v>1587.9</v>
      </c>
      <c r="L90" s="202"/>
      <c r="M90" s="202"/>
      <c r="N90" s="201"/>
      <c r="O90" s="11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</row>
    <row r="91" spans="1:27" s="1" customFormat="1" ht="12.75">
      <c r="A91" s="257">
        <v>37500</v>
      </c>
      <c r="B91" s="258">
        <v>37652</v>
      </c>
      <c r="C91" s="200">
        <v>310.1</v>
      </c>
      <c r="D91" s="200">
        <v>1342.1</v>
      </c>
      <c r="E91" s="200">
        <v>1217.2</v>
      </c>
      <c r="F91" s="200">
        <v>1501.6</v>
      </c>
      <c r="G91" s="200">
        <v>709.7</v>
      </c>
      <c r="H91" s="200">
        <v>1944.4</v>
      </c>
      <c r="I91" s="200">
        <v>542.8</v>
      </c>
      <c r="J91" s="200">
        <v>773.5</v>
      </c>
      <c r="K91" s="200">
        <v>1587.9</v>
      </c>
      <c r="L91" s="202"/>
      <c r="M91" s="202"/>
      <c r="N91" s="201"/>
      <c r="O91" s="11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</row>
    <row r="92" spans="1:27" s="1" customFormat="1" ht="12.75">
      <c r="A92" s="257">
        <v>37530</v>
      </c>
      <c r="B92" s="258">
        <v>37741</v>
      </c>
      <c r="C92" s="200">
        <v>312.74</v>
      </c>
      <c r="D92" s="200">
        <v>1344.3</v>
      </c>
      <c r="E92" s="200">
        <v>1215.1</v>
      </c>
      <c r="F92" s="200">
        <v>1501.5</v>
      </c>
      <c r="G92" s="200">
        <v>715.5</v>
      </c>
      <c r="H92" s="200">
        <v>2002.7</v>
      </c>
      <c r="I92" s="200">
        <v>544.4</v>
      </c>
      <c r="J92" s="200">
        <v>729.2</v>
      </c>
      <c r="K92" s="200">
        <v>1587.9</v>
      </c>
      <c r="L92" s="202"/>
      <c r="M92" s="202"/>
      <c r="N92" s="201"/>
      <c r="O92" s="11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</row>
    <row r="93" spans="1:27" s="1" customFormat="1" ht="12.75">
      <c r="A93" s="257">
        <v>37561</v>
      </c>
      <c r="B93" s="258">
        <v>37741</v>
      </c>
      <c r="C93" s="200">
        <v>313.27</v>
      </c>
      <c r="D93" s="200">
        <v>1344.1</v>
      </c>
      <c r="E93" s="200">
        <v>1216.1</v>
      </c>
      <c r="F93" s="200">
        <v>1504.7</v>
      </c>
      <c r="G93" s="200">
        <v>715.6</v>
      </c>
      <c r="H93" s="200">
        <v>1916.7</v>
      </c>
      <c r="I93" s="200">
        <v>568.5</v>
      </c>
      <c r="J93" s="200">
        <v>727.7</v>
      </c>
      <c r="K93" s="200">
        <v>1587.9</v>
      </c>
      <c r="L93" s="202"/>
      <c r="M93" s="202"/>
      <c r="N93" s="201"/>
      <c r="O93" s="11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</row>
    <row r="94" spans="1:27" s="1" customFormat="1" ht="12.75">
      <c r="A94" s="259">
        <v>37591</v>
      </c>
      <c r="B94" s="260">
        <v>37741</v>
      </c>
      <c r="C94" s="203">
        <v>314.07</v>
      </c>
      <c r="D94" s="203">
        <v>1342.9</v>
      </c>
      <c r="E94" s="203">
        <v>1218.1</v>
      </c>
      <c r="F94" s="203">
        <v>1505.8</v>
      </c>
      <c r="G94" s="203">
        <v>709.8</v>
      </c>
      <c r="H94" s="203">
        <v>1907.9</v>
      </c>
      <c r="I94" s="203">
        <v>564.6</v>
      </c>
      <c r="J94" s="203">
        <v>729.7</v>
      </c>
      <c r="K94" s="203">
        <v>1462.8</v>
      </c>
      <c r="L94" s="202"/>
      <c r="M94" s="202"/>
      <c r="N94" s="201"/>
      <c r="O94" s="11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</row>
    <row r="95" spans="1:27" s="1" customFormat="1" ht="12.75">
      <c r="A95" s="257">
        <v>37622</v>
      </c>
      <c r="B95" s="258">
        <v>37840</v>
      </c>
      <c r="C95" s="200">
        <v>313</v>
      </c>
      <c r="D95" s="200">
        <v>1349.9</v>
      </c>
      <c r="E95" s="200">
        <v>1227.4</v>
      </c>
      <c r="F95" s="200">
        <v>1507.4</v>
      </c>
      <c r="G95" s="200">
        <v>719.9</v>
      </c>
      <c r="H95" s="200">
        <v>2017</v>
      </c>
      <c r="I95" s="200">
        <v>558.2</v>
      </c>
      <c r="J95" s="200">
        <v>725.8</v>
      </c>
      <c r="K95" s="200">
        <v>1453.9</v>
      </c>
      <c r="L95" s="202"/>
      <c r="M95" s="202"/>
      <c r="N95" s="201"/>
      <c r="O95" s="11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</row>
    <row r="96" spans="1:27" s="1" customFormat="1" ht="12.75">
      <c r="A96" s="257">
        <v>37653</v>
      </c>
      <c r="B96" s="258">
        <v>37840</v>
      </c>
      <c r="C96" s="200">
        <v>313.53</v>
      </c>
      <c r="D96" s="200">
        <v>1350.6</v>
      </c>
      <c r="E96" s="200">
        <v>1227.1</v>
      </c>
      <c r="F96" s="200">
        <v>1509.3</v>
      </c>
      <c r="G96" s="200">
        <v>728.9</v>
      </c>
      <c r="H96" s="200">
        <v>2045.3</v>
      </c>
      <c r="I96" s="200">
        <v>541.2</v>
      </c>
      <c r="J96" s="200">
        <v>723.5</v>
      </c>
      <c r="K96" s="200">
        <v>1627.3</v>
      </c>
      <c r="L96" s="202"/>
      <c r="M96" s="202"/>
      <c r="N96" s="201"/>
      <c r="O96" s="11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</row>
    <row r="97" spans="1:27" s="1" customFormat="1" ht="12.75">
      <c r="A97" s="257">
        <v>37681</v>
      </c>
      <c r="B97" s="258">
        <v>37840</v>
      </c>
      <c r="C97" s="200">
        <v>315.4</v>
      </c>
      <c r="D97" s="200">
        <v>1346.2</v>
      </c>
      <c r="E97" s="200">
        <v>1221.8</v>
      </c>
      <c r="F97" s="200">
        <v>1507.6</v>
      </c>
      <c r="G97" s="200">
        <v>728.3</v>
      </c>
      <c r="H97" s="200">
        <v>2075.1</v>
      </c>
      <c r="I97" s="200">
        <v>552.7</v>
      </c>
      <c r="J97" s="200">
        <v>732.1</v>
      </c>
      <c r="K97" s="200">
        <v>1654</v>
      </c>
      <c r="L97" s="201"/>
      <c r="M97" s="201"/>
      <c r="N97" s="201"/>
      <c r="O97" s="11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</row>
    <row r="98" spans="1:27" s="1" customFormat="1" ht="12.75">
      <c r="A98" s="257">
        <v>37712</v>
      </c>
      <c r="B98" s="258">
        <v>37954</v>
      </c>
      <c r="C98" s="200">
        <v>317.54</v>
      </c>
      <c r="D98" s="200">
        <v>1343.7</v>
      </c>
      <c r="E98" s="200">
        <v>1227.2</v>
      </c>
      <c r="F98" s="200">
        <v>1507.2</v>
      </c>
      <c r="G98" s="200">
        <v>730.7</v>
      </c>
      <c r="H98" s="200">
        <v>1940.9</v>
      </c>
      <c r="I98" s="200">
        <v>527.6</v>
      </c>
      <c r="J98" s="200">
        <v>728.3</v>
      </c>
      <c r="K98" s="200">
        <v>1525.7</v>
      </c>
      <c r="L98" s="201"/>
      <c r="M98" s="201"/>
      <c r="N98" s="201"/>
      <c r="O98" s="11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</row>
    <row r="99" spans="1:27" s="1" customFormat="1" ht="12.75">
      <c r="A99" s="257">
        <v>37742</v>
      </c>
      <c r="B99" s="258">
        <v>37954</v>
      </c>
      <c r="C99" s="200">
        <v>317.27</v>
      </c>
      <c r="D99" s="200">
        <v>1337.8</v>
      </c>
      <c r="E99" s="200">
        <v>1225</v>
      </c>
      <c r="F99" s="200">
        <v>1508.8</v>
      </c>
      <c r="G99" s="200">
        <v>731.6</v>
      </c>
      <c r="H99" s="200">
        <v>1808.9</v>
      </c>
      <c r="I99" s="200">
        <v>513.6</v>
      </c>
      <c r="J99" s="200">
        <v>713.9</v>
      </c>
      <c r="K99" s="200">
        <v>1434.6</v>
      </c>
      <c r="L99" s="201"/>
      <c r="M99" s="201"/>
      <c r="N99" s="201"/>
      <c r="O99" s="11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</row>
    <row r="100" spans="1:27" s="1" customFormat="1" ht="12.75">
      <c r="A100" s="257">
        <v>37773</v>
      </c>
      <c r="B100" s="258">
        <v>37954</v>
      </c>
      <c r="C100" s="200">
        <v>317.54</v>
      </c>
      <c r="D100" s="200">
        <v>1331.4</v>
      </c>
      <c r="E100" s="200">
        <v>1225.7</v>
      </c>
      <c r="F100" s="200">
        <v>1509.4</v>
      </c>
      <c r="G100" s="200">
        <v>727.6</v>
      </c>
      <c r="H100" s="200">
        <v>1801.7</v>
      </c>
      <c r="I100" s="200">
        <v>521.1</v>
      </c>
      <c r="J100" s="200">
        <v>711.1</v>
      </c>
      <c r="K100" s="200">
        <v>1375.8</v>
      </c>
      <c r="L100" s="201"/>
      <c r="M100" s="201"/>
      <c r="N100" s="201"/>
      <c r="O100" s="11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</row>
    <row r="101" spans="1:27" s="1" customFormat="1" ht="12.75">
      <c r="A101" s="257">
        <v>37803</v>
      </c>
      <c r="B101" s="258">
        <v>38015</v>
      </c>
      <c r="C101" s="200">
        <v>315.92</v>
      </c>
      <c r="D101" s="200">
        <v>1324.6</v>
      </c>
      <c r="E101" s="200">
        <v>1226</v>
      </c>
      <c r="F101" s="200">
        <v>1512.6</v>
      </c>
      <c r="G101" s="200">
        <v>724.4</v>
      </c>
      <c r="H101" s="200">
        <v>1865.3</v>
      </c>
      <c r="I101" s="200">
        <v>541.2</v>
      </c>
      <c r="J101" s="200">
        <v>704.8</v>
      </c>
      <c r="K101" s="200">
        <v>1517.8</v>
      </c>
      <c r="L101" s="201"/>
      <c r="M101" s="201"/>
      <c r="N101" s="201"/>
      <c r="O101" s="11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</row>
    <row r="102" spans="1:27" s="1" customFormat="1" ht="12.75">
      <c r="A102" s="257">
        <v>37834</v>
      </c>
      <c r="B102" s="258">
        <v>38015</v>
      </c>
      <c r="C102" s="200">
        <v>317.26</v>
      </c>
      <c r="D102" s="200">
        <v>1325.7</v>
      </c>
      <c r="E102" s="200">
        <v>1225.7</v>
      </c>
      <c r="F102" s="200">
        <v>1513.9</v>
      </c>
      <c r="G102" s="200">
        <v>721.3</v>
      </c>
      <c r="H102" s="200">
        <v>1867.3</v>
      </c>
      <c r="I102" s="200">
        <v>567.8</v>
      </c>
      <c r="J102" s="200">
        <v>706.4</v>
      </c>
      <c r="K102" s="200">
        <v>1630.9</v>
      </c>
      <c r="L102" s="201"/>
      <c r="M102" s="201"/>
      <c r="N102" s="201"/>
      <c r="O102" s="11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</row>
    <row r="103" spans="1:27" s="1" customFormat="1" ht="12.75">
      <c r="A103" s="257">
        <v>37865</v>
      </c>
      <c r="B103" s="258">
        <v>38015</v>
      </c>
      <c r="C103" s="200">
        <v>318.07</v>
      </c>
      <c r="D103" s="200">
        <v>1330.3</v>
      </c>
      <c r="E103" s="200">
        <v>1226.9</v>
      </c>
      <c r="F103" s="200">
        <v>1513.4</v>
      </c>
      <c r="G103" s="200">
        <v>713.7</v>
      </c>
      <c r="H103" s="200">
        <v>1823.3</v>
      </c>
      <c r="I103" s="200">
        <v>573.7</v>
      </c>
      <c r="J103" s="200">
        <v>708</v>
      </c>
      <c r="K103" s="200">
        <v>1529.3</v>
      </c>
      <c r="L103" s="201"/>
      <c r="M103" s="201"/>
      <c r="N103" s="201"/>
      <c r="O103" s="11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</row>
    <row r="104" spans="1:27" s="1" customFormat="1" ht="12.75">
      <c r="A104" s="257">
        <v>37895</v>
      </c>
      <c r="B104" s="258">
        <v>38147</v>
      </c>
      <c r="C104" s="200">
        <v>319.96</v>
      </c>
      <c r="D104" s="200">
        <v>1331.2</v>
      </c>
      <c r="E104" s="200">
        <v>1224.4</v>
      </c>
      <c r="F104" s="200">
        <v>1512.9</v>
      </c>
      <c r="G104" s="200">
        <v>717.4</v>
      </c>
      <c r="H104" s="200">
        <v>1817.3</v>
      </c>
      <c r="I104" s="200">
        <v>590.5</v>
      </c>
      <c r="J104" s="200">
        <v>705.4</v>
      </c>
      <c r="K104" s="200">
        <v>1445.2</v>
      </c>
      <c r="L104" s="201"/>
      <c r="M104" s="201"/>
      <c r="N104" s="201"/>
      <c r="O104" s="11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</row>
    <row r="105" spans="1:27" s="1" customFormat="1" ht="12.75">
      <c r="A105" s="257">
        <v>37926</v>
      </c>
      <c r="B105" s="258">
        <v>38147</v>
      </c>
      <c r="C105" s="200">
        <v>320.78</v>
      </c>
      <c r="D105" s="200">
        <v>1332</v>
      </c>
      <c r="E105" s="200">
        <v>1225.3</v>
      </c>
      <c r="F105" s="200">
        <v>1513.3</v>
      </c>
      <c r="G105" s="200">
        <v>720.2</v>
      </c>
      <c r="H105" s="200">
        <v>1823.3</v>
      </c>
      <c r="I105" s="200">
        <v>628.4</v>
      </c>
      <c r="J105" s="200">
        <v>716.3</v>
      </c>
      <c r="K105" s="200">
        <v>1416.3</v>
      </c>
      <c r="L105" s="201"/>
      <c r="M105" s="201"/>
      <c r="N105" s="201"/>
      <c r="O105" s="11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</row>
    <row r="106" spans="1:27" s="1" customFormat="1" ht="12.75">
      <c r="A106" s="259">
        <v>37956</v>
      </c>
      <c r="B106" s="260">
        <v>38147</v>
      </c>
      <c r="C106" s="203">
        <v>321.33</v>
      </c>
      <c r="D106" s="203">
        <v>1318.4</v>
      </c>
      <c r="E106" s="203">
        <v>1223.8</v>
      </c>
      <c r="F106" s="203">
        <v>1513.4</v>
      </c>
      <c r="G106" s="203">
        <v>716.2</v>
      </c>
      <c r="H106" s="203">
        <v>1804.7</v>
      </c>
      <c r="I106" s="203">
        <v>639.9</v>
      </c>
      <c r="J106" s="203">
        <v>716.9</v>
      </c>
      <c r="K106" s="203">
        <v>1402</v>
      </c>
      <c r="L106" s="202"/>
      <c r="M106" s="201"/>
      <c r="N106" s="201"/>
      <c r="O106" s="11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</row>
    <row r="107" spans="1:27" s="1" customFormat="1" ht="12.75">
      <c r="A107" s="257">
        <v>37987</v>
      </c>
      <c r="B107" s="258">
        <v>38238</v>
      </c>
      <c r="C107" s="200">
        <v>319.41</v>
      </c>
      <c r="D107" s="200">
        <v>1342.7</v>
      </c>
      <c r="E107" s="200">
        <v>1226</v>
      </c>
      <c r="F107" s="200">
        <v>1517.9</v>
      </c>
      <c r="G107" s="200">
        <v>735.7</v>
      </c>
      <c r="H107" s="200">
        <v>1773.3</v>
      </c>
      <c r="I107" s="200">
        <v>689.3</v>
      </c>
      <c r="J107" s="200">
        <v>711.7</v>
      </c>
      <c r="K107" s="200">
        <v>1262.8</v>
      </c>
      <c r="L107" s="202"/>
      <c r="M107" s="201"/>
      <c r="N107" s="201"/>
      <c r="O107" s="11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</row>
    <row r="108" spans="1:27" s="1" customFormat="1" ht="12.75">
      <c r="A108" s="257">
        <v>38018</v>
      </c>
      <c r="B108" s="258">
        <v>38238</v>
      </c>
      <c r="C108" s="200">
        <v>319.41</v>
      </c>
      <c r="D108" s="200">
        <v>1362.1</v>
      </c>
      <c r="E108" s="200">
        <v>1230.3</v>
      </c>
      <c r="F108" s="200">
        <v>1519.1</v>
      </c>
      <c r="G108" s="200">
        <v>773.6</v>
      </c>
      <c r="H108" s="200">
        <v>1751.2</v>
      </c>
      <c r="I108" s="200">
        <v>781.2</v>
      </c>
      <c r="J108" s="200">
        <v>708</v>
      </c>
      <c r="K108" s="200">
        <v>1295.4</v>
      </c>
      <c r="L108" s="202"/>
      <c r="M108" s="201"/>
      <c r="N108" s="201"/>
      <c r="O108" s="11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</row>
    <row r="109" spans="1:27" s="1" customFormat="1" ht="12.75">
      <c r="A109" s="257">
        <v>38047</v>
      </c>
      <c r="B109" s="258">
        <v>38238</v>
      </c>
      <c r="C109" s="200">
        <v>321.31</v>
      </c>
      <c r="D109" s="200">
        <v>1366</v>
      </c>
      <c r="E109" s="200">
        <v>1234.7</v>
      </c>
      <c r="F109" s="200">
        <v>1522.4</v>
      </c>
      <c r="G109" s="200">
        <v>825.2</v>
      </c>
      <c r="H109" s="200">
        <v>1787.9</v>
      </c>
      <c r="I109" s="200">
        <v>876.9</v>
      </c>
      <c r="J109" s="200">
        <v>721</v>
      </c>
      <c r="K109" s="200">
        <v>1281.3</v>
      </c>
      <c r="L109" s="202"/>
      <c r="M109" s="201"/>
      <c r="N109" s="201"/>
      <c r="O109" s="11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</row>
    <row r="110" spans="1:27" s="1" customFormat="1" ht="12.75">
      <c r="A110" s="257">
        <v>38078</v>
      </c>
      <c r="B110" s="258">
        <v>38321</v>
      </c>
      <c r="C110" s="200">
        <v>325.14</v>
      </c>
      <c r="D110" s="200">
        <v>1373.4</v>
      </c>
      <c r="E110" s="200">
        <v>1240.8</v>
      </c>
      <c r="F110" s="200">
        <v>1521.8</v>
      </c>
      <c r="G110" s="200">
        <v>912.5</v>
      </c>
      <c r="H110" s="200">
        <v>1824.5</v>
      </c>
      <c r="I110" s="200">
        <v>879.3</v>
      </c>
      <c r="J110" s="200">
        <v>721.1</v>
      </c>
      <c r="K110" s="200">
        <v>1342.8</v>
      </c>
      <c r="L110" s="201"/>
      <c r="M110" s="201"/>
      <c r="N110" s="201"/>
      <c r="O110" s="11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</row>
    <row r="111" spans="1:27" s="1" customFormat="1" ht="12.75">
      <c r="A111" s="257">
        <v>38108</v>
      </c>
      <c r="B111" s="258">
        <v>38321</v>
      </c>
      <c r="C111" s="200">
        <v>326.8</v>
      </c>
      <c r="D111" s="200">
        <v>1379.2</v>
      </c>
      <c r="E111" s="200">
        <v>1247.7</v>
      </c>
      <c r="F111" s="200">
        <v>1524.5</v>
      </c>
      <c r="G111" s="200">
        <v>952.7</v>
      </c>
      <c r="H111" s="200">
        <v>1893.9</v>
      </c>
      <c r="I111" s="200">
        <v>814.7</v>
      </c>
      <c r="J111" s="200">
        <v>740.6</v>
      </c>
      <c r="K111" s="200">
        <v>1397.1</v>
      </c>
      <c r="L111" s="201"/>
      <c r="M111" s="201"/>
      <c r="N111" s="201"/>
      <c r="O111" s="11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</row>
    <row r="112" spans="1:27" s="1" customFormat="1" ht="12.75">
      <c r="A112" s="257">
        <v>38139</v>
      </c>
      <c r="B112" s="258">
        <v>38321</v>
      </c>
      <c r="C112" s="200">
        <v>327.35</v>
      </c>
      <c r="D112" s="200">
        <v>1376.1</v>
      </c>
      <c r="E112" s="200">
        <v>1247</v>
      </c>
      <c r="F112" s="200">
        <v>1525.7</v>
      </c>
      <c r="G112" s="200">
        <v>941.9</v>
      </c>
      <c r="H112" s="200">
        <v>1920.5</v>
      </c>
      <c r="I112" s="200">
        <v>792.1</v>
      </c>
      <c r="J112" s="200">
        <v>744.6</v>
      </c>
      <c r="K112" s="200">
        <v>1341</v>
      </c>
      <c r="L112" s="201"/>
      <c r="M112" s="201"/>
      <c r="N112" s="201"/>
      <c r="O112" s="11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</row>
    <row r="113" spans="1:27" s="1" customFormat="1" ht="12.75">
      <c r="A113" s="257">
        <v>38169</v>
      </c>
      <c r="B113" s="258">
        <v>38546</v>
      </c>
      <c r="C113" s="200">
        <v>325.13</v>
      </c>
      <c r="D113" s="200">
        <v>1372.8</v>
      </c>
      <c r="E113" s="200">
        <v>1248.2</v>
      </c>
      <c r="F113" s="200">
        <v>1527.3</v>
      </c>
      <c r="G113" s="200">
        <v>928.2</v>
      </c>
      <c r="H113" s="200">
        <v>1905.9</v>
      </c>
      <c r="I113" s="200">
        <v>819.3</v>
      </c>
      <c r="J113" s="200">
        <v>752.6</v>
      </c>
      <c r="K113" s="200">
        <v>1369.5</v>
      </c>
      <c r="L113" s="201"/>
      <c r="M113" s="201"/>
      <c r="N113" s="201"/>
      <c r="O113" s="11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</row>
    <row r="114" spans="1:27" s="1" customFormat="1" ht="12.75">
      <c r="A114" s="257">
        <v>38200</v>
      </c>
      <c r="B114" s="258">
        <v>38546</v>
      </c>
      <c r="C114" s="200">
        <v>326.23</v>
      </c>
      <c r="D114" s="200">
        <v>1373.4</v>
      </c>
      <c r="E114" s="200">
        <v>1251.9</v>
      </c>
      <c r="F114" s="200">
        <v>1528.1</v>
      </c>
      <c r="G114" s="200">
        <v>949.3</v>
      </c>
      <c r="H114" s="200">
        <v>1942.2</v>
      </c>
      <c r="I114" s="200">
        <v>837</v>
      </c>
      <c r="J114" s="200">
        <v>754.9</v>
      </c>
      <c r="K114" s="200">
        <v>1425</v>
      </c>
      <c r="L114" s="201"/>
      <c r="M114" s="201"/>
      <c r="N114" s="201"/>
      <c r="O114" s="11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</row>
    <row r="115" spans="1:27" s="1" customFormat="1" ht="12.75">
      <c r="A115" s="257">
        <v>38231</v>
      </c>
      <c r="B115" s="258">
        <v>38546</v>
      </c>
      <c r="C115" s="200">
        <v>326.79</v>
      </c>
      <c r="D115" s="200">
        <v>1370.6</v>
      </c>
      <c r="E115" s="200">
        <v>1252.6</v>
      </c>
      <c r="F115" s="200">
        <v>1528.8</v>
      </c>
      <c r="G115" s="200">
        <v>979</v>
      </c>
      <c r="H115" s="200">
        <v>1955.4</v>
      </c>
      <c r="I115" s="200">
        <v>848.3</v>
      </c>
      <c r="J115" s="200">
        <v>757</v>
      </c>
      <c r="K115" s="200">
        <v>1393.8</v>
      </c>
      <c r="L115" s="201"/>
      <c r="M115" s="201"/>
      <c r="N115" s="201"/>
      <c r="O115" s="11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</row>
    <row r="116" spans="1:27" s="1" customFormat="1" ht="12.75">
      <c r="A116" s="257">
        <v>38261</v>
      </c>
      <c r="B116" s="258">
        <v>38546</v>
      </c>
      <c r="C116" s="200">
        <v>329.56</v>
      </c>
      <c r="D116" s="200">
        <v>1371.3</v>
      </c>
      <c r="E116" s="200">
        <v>1257.5</v>
      </c>
      <c r="F116" s="200">
        <v>1531.9</v>
      </c>
      <c r="G116" s="200">
        <v>1013.9</v>
      </c>
      <c r="H116" s="200">
        <v>2031.4</v>
      </c>
      <c r="I116" s="200">
        <v>863.1</v>
      </c>
      <c r="J116" s="200">
        <v>773.5</v>
      </c>
      <c r="K116" s="200">
        <v>1325.5</v>
      </c>
      <c r="L116" s="201"/>
      <c r="M116" s="201"/>
      <c r="N116" s="201"/>
      <c r="O116" s="11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</row>
    <row r="117" spans="1:27" s="1" customFormat="1" ht="12.75">
      <c r="A117" s="257">
        <v>38292</v>
      </c>
      <c r="B117" s="258">
        <v>38546</v>
      </c>
      <c r="C117" s="200">
        <v>330.12</v>
      </c>
      <c r="D117" s="200">
        <v>1378.2</v>
      </c>
      <c r="E117" s="200">
        <v>1260.4</v>
      </c>
      <c r="F117" s="200">
        <v>1532.9</v>
      </c>
      <c r="G117" s="200">
        <v>1020</v>
      </c>
      <c r="H117" s="200">
        <v>2040.4</v>
      </c>
      <c r="I117" s="200">
        <v>862.4</v>
      </c>
      <c r="J117" s="200">
        <v>762.3</v>
      </c>
      <c r="K117" s="200">
        <v>1206.5</v>
      </c>
      <c r="L117" s="201"/>
      <c r="M117" s="201"/>
      <c r="N117" s="201"/>
      <c r="O117" s="11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</row>
    <row r="118" spans="1:27" s="1" customFormat="1" ht="12.75">
      <c r="A118" s="259">
        <v>38322</v>
      </c>
      <c r="B118" s="260">
        <v>38546</v>
      </c>
      <c r="C118" s="203">
        <v>329.84</v>
      </c>
      <c r="D118" s="203">
        <v>1375</v>
      </c>
      <c r="E118" s="203">
        <v>1262.2</v>
      </c>
      <c r="F118" s="203">
        <v>1532.5</v>
      </c>
      <c r="G118" s="203">
        <v>1010.3</v>
      </c>
      <c r="H118" s="203">
        <v>1962.2</v>
      </c>
      <c r="I118" s="203">
        <v>841.6</v>
      </c>
      <c r="J118" s="203">
        <v>763.2</v>
      </c>
      <c r="K118" s="203">
        <v>1226.2</v>
      </c>
      <c r="L118" s="201"/>
      <c r="M118" s="201"/>
      <c r="N118" s="201"/>
      <c r="O118" s="11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</row>
    <row r="119" spans="1:27" s="1" customFormat="1" ht="12.75">
      <c r="A119" s="257">
        <v>38353</v>
      </c>
      <c r="B119" s="258">
        <v>38708</v>
      </c>
      <c r="C119" s="200">
        <v>327.6</v>
      </c>
      <c r="D119" s="200">
        <v>1392.2</v>
      </c>
      <c r="E119" s="200">
        <v>1268.9</v>
      </c>
      <c r="F119" s="200">
        <v>1536.4</v>
      </c>
      <c r="G119" s="200">
        <v>1017.7</v>
      </c>
      <c r="H119" s="200">
        <v>1960.6</v>
      </c>
      <c r="I119" s="200">
        <v>866.6</v>
      </c>
      <c r="J119" s="200">
        <v>753.4</v>
      </c>
      <c r="K119" s="200">
        <v>1253.4</v>
      </c>
      <c r="L119" s="201"/>
      <c r="M119" s="201"/>
      <c r="N119" s="201"/>
      <c r="O119" s="11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</row>
    <row r="120" spans="1:27" s="1" customFormat="1" ht="12.75">
      <c r="A120" s="257">
        <v>38384</v>
      </c>
      <c r="B120" s="258">
        <v>38708</v>
      </c>
      <c r="C120" s="200">
        <v>328.44</v>
      </c>
      <c r="D120" s="200">
        <v>1414.7</v>
      </c>
      <c r="E120" s="200">
        <v>1274</v>
      </c>
      <c r="F120" s="200">
        <v>1548.4</v>
      </c>
      <c r="G120" s="200">
        <v>1002.7</v>
      </c>
      <c r="H120" s="200">
        <v>2005.4</v>
      </c>
      <c r="I120" s="200">
        <v>882.9</v>
      </c>
      <c r="J120" s="200">
        <v>768.3</v>
      </c>
      <c r="K120" s="200">
        <v>1320.1</v>
      </c>
      <c r="L120" s="201"/>
      <c r="M120" s="201"/>
      <c r="N120" s="201"/>
      <c r="O120" s="11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</row>
    <row r="121" spans="1:27" s="1" customFormat="1" ht="12.75">
      <c r="A121" s="257">
        <v>38412</v>
      </c>
      <c r="B121" s="258">
        <v>38708</v>
      </c>
      <c r="C121" s="200">
        <v>330.67</v>
      </c>
      <c r="D121" s="200">
        <v>1424</v>
      </c>
      <c r="E121" s="200">
        <v>1280.4</v>
      </c>
      <c r="F121" s="200">
        <v>1551</v>
      </c>
      <c r="G121" s="200">
        <v>979.2</v>
      </c>
      <c r="H121" s="200">
        <v>2100.9</v>
      </c>
      <c r="I121" s="200">
        <v>904.1</v>
      </c>
      <c r="J121" s="200">
        <v>776.2</v>
      </c>
      <c r="K121" s="200">
        <v>1526.7</v>
      </c>
      <c r="L121" s="201"/>
      <c r="M121" s="201"/>
      <c r="N121" s="201"/>
      <c r="O121" s="11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</row>
    <row r="122" spans="1:27" s="1" customFormat="1" ht="12.75">
      <c r="A122" s="257">
        <v>38443</v>
      </c>
      <c r="B122" s="258">
        <v>38708</v>
      </c>
      <c r="C122" s="200">
        <v>334.6</v>
      </c>
      <c r="D122" s="200">
        <v>1433.1</v>
      </c>
      <c r="E122" s="200">
        <v>1284.9</v>
      </c>
      <c r="F122" s="200">
        <v>1555.6</v>
      </c>
      <c r="G122" s="200">
        <v>977.7</v>
      </c>
      <c r="H122" s="200">
        <v>2188</v>
      </c>
      <c r="I122" s="200">
        <v>925.3</v>
      </c>
      <c r="J122" s="200">
        <v>787.5</v>
      </c>
      <c r="K122" s="200">
        <v>1702.3</v>
      </c>
      <c r="L122" s="201"/>
      <c r="M122" s="201"/>
      <c r="N122" s="201"/>
      <c r="O122" s="11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</row>
    <row r="123" spans="1:27" s="1" customFormat="1" ht="12.75">
      <c r="A123" s="257">
        <v>38473</v>
      </c>
      <c r="B123" s="258">
        <v>38708</v>
      </c>
      <c r="C123" s="200">
        <v>335.17</v>
      </c>
      <c r="D123" s="200">
        <v>1439</v>
      </c>
      <c r="E123" s="200">
        <v>1291.1</v>
      </c>
      <c r="F123" s="200">
        <v>1557</v>
      </c>
      <c r="G123" s="200">
        <v>974.8</v>
      </c>
      <c r="H123" s="200">
        <v>2194.1</v>
      </c>
      <c r="I123" s="200">
        <v>904.1</v>
      </c>
      <c r="J123" s="200">
        <v>760.6</v>
      </c>
      <c r="K123" s="200">
        <v>1919.9</v>
      </c>
      <c r="L123" s="201"/>
      <c r="M123" s="201"/>
      <c r="N123" s="201"/>
      <c r="O123" s="11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</row>
    <row r="124" spans="1:27" s="1" customFormat="1" ht="12.75">
      <c r="A124" s="257">
        <v>38504</v>
      </c>
      <c r="B124" s="258">
        <v>38708</v>
      </c>
      <c r="C124" s="200">
        <v>335.74</v>
      </c>
      <c r="D124" s="200">
        <v>1432.2</v>
      </c>
      <c r="E124" s="200">
        <v>1292.4</v>
      </c>
      <c r="F124" s="200">
        <v>1559.2</v>
      </c>
      <c r="G124" s="200">
        <v>967.9</v>
      </c>
      <c r="H124" s="200">
        <v>2230.6</v>
      </c>
      <c r="I124" s="200">
        <v>1023.1</v>
      </c>
      <c r="J124" s="200">
        <v>768.4</v>
      </c>
      <c r="K124" s="200">
        <v>1949</v>
      </c>
      <c r="L124" s="201"/>
      <c r="M124" s="201"/>
      <c r="N124" s="201"/>
      <c r="O124" s="11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</row>
    <row r="125" spans="1:27" s="1" customFormat="1" ht="12.75">
      <c r="A125" s="257">
        <v>38534</v>
      </c>
      <c r="B125" s="258">
        <v>38812</v>
      </c>
      <c r="C125" s="200">
        <v>334.03</v>
      </c>
      <c r="D125" s="200">
        <v>1435.5</v>
      </c>
      <c r="E125" s="200">
        <v>1295.3</v>
      </c>
      <c r="F125" s="200">
        <v>1559.1</v>
      </c>
      <c r="G125" s="200">
        <v>954.5</v>
      </c>
      <c r="H125" s="200">
        <v>2328.5</v>
      </c>
      <c r="I125" s="200">
        <v>1060.4</v>
      </c>
      <c r="J125" s="200">
        <v>768.1</v>
      </c>
      <c r="K125" s="200">
        <v>1948.4</v>
      </c>
      <c r="L125" s="201"/>
      <c r="M125" s="201"/>
      <c r="N125" s="201"/>
      <c r="O125" s="11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</row>
    <row r="126" spans="1:27" s="1" customFormat="1" ht="12.75">
      <c r="A126" s="257">
        <v>38565</v>
      </c>
      <c r="B126" s="258">
        <v>38812</v>
      </c>
      <c r="C126" s="200">
        <v>335.17</v>
      </c>
      <c r="D126" s="200">
        <v>1448.1</v>
      </c>
      <c r="E126" s="200">
        <v>1296.8</v>
      </c>
      <c r="F126" s="200">
        <v>1559</v>
      </c>
      <c r="G126" s="200">
        <v>958</v>
      </c>
      <c r="H126" s="200">
        <v>2418.9</v>
      </c>
      <c r="I126" s="200">
        <v>1062.6</v>
      </c>
      <c r="J126" s="200">
        <v>788.4</v>
      </c>
      <c r="K126" s="200">
        <v>2051.3</v>
      </c>
      <c r="L126" s="201"/>
      <c r="M126" s="201"/>
      <c r="N126" s="201"/>
      <c r="O126" s="11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</row>
    <row r="127" spans="1:27" s="1" customFormat="1" ht="12.75">
      <c r="A127" s="257">
        <v>38596</v>
      </c>
      <c r="B127" s="258">
        <v>38812</v>
      </c>
      <c r="C127" s="200">
        <v>336.88</v>
      </c>
      <c r="D127" s="200">
        <v>1446.3</v>
      </c>
      <c r="E127" s="200">
        <v>1298.4</v>
      </c>
      <c r="F127" s="200">
        <v>1560.2</v>
      </c>
      <c r="G127" s="200">
        <v>967.7</v>
      </c>
      <c r="H127" s="200">
        <v>2492.1</v>
      </c>
      <c r="I127" s="200">
        <v>1111.4</v>
      </c>
      <c r="J127" s="200">
        <v>794</v>
      </c>
      <c r="K127" s="200">
        <v>2315.2</v>
      </c>
      <c r="L127" s="201"/>
      <c r="M127" s="201"/>
      <c r="N127" s="201"/>
      <c r="O127" s="11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</row>
    <row r="128" spans="1:27" s="1" customFormat="1" ht="12.75">
      <c r="A128" s="257">
        <v>38626</v>
      </c>
      <c r="B128" s="258">
        <v>38903</v>
      </c>
      <c r="C128" s="200">
        <v>339.17</v>
      </c>
      <c r="D128" s="200">
        <v>1443.8</v>
      </c>
      <c r="E128" s="200">
        <v>1301.8</v>
      </c>
      <c r="F128" s="200">
        <v>1561.9</v>
      </c>
      <c r="G128" s="200">
        <v>985.2</v>
      </c>
      <c r="H128" s="200">
        <v>2538.9</v>
      </c>
      <c r="I128" s="200">
        <v>1192.9</v>
      </c>
      <c r="J128" s="200">
        <v>783.7</v>
      </c>
      <c r="K128" s="200">
        <v>2340.3</v>
      </c>
      <c r="L128" s="201"/>
      <c r="M128" s="201"/>
      <c r="N128" s="201"/>
      <c r="O128" s="11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</row>
    <row r="129" spans="1:27" s="1" customFormat="1" ht="12.75">
      <c r="A129" s="257">
        <v>38657</v>
      </c>
      <c r="B129" s="258">
        <v>38903</v>
      </c>
      <c r="C129" s="200">
        <v>339.74</v>
      </c>
      <c r="D129" s="200">
        <v>1444.5</v>
      </c>
      <c r="E129" s="200">
        <v>1308.2</v>
      </c>
      <c r="F129" s="200">
        <v>1563.9</v>
      </c>
      <c r="G129" s="200">
        <v>988.9</v>
      </c>
      <c r="H129" s="200">
        <v>2489.8</v>
      </c>
      <c r="I129" s="200">
        <v>1279.2</v>
      </c>
      <c r="J129" s="200">
        <v>833.3</v>
      </c>
      <c r="K129" s="200">
        <v>2235.4</v>
      </c>
      <c r="L129" s="201"/>
      <c r="M129" s="201"/>
      <c r="N129" s="201"/>
      <c r="O129" s="11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</row>
    <row r="130" spans="1:27" s="1" customFormat="1" ht="12.75">
      <c r="A130" s="259">
        <v>38687</v>
      </c>
      <c r="B130" s="260">
        <v>38903</v>
      </c>
      <c r="C130" s="203">
        <v>340.32</v>
      </c>
      <c r="D130" s="203">
        <v>1445.5</v>
      </c>
      <c r="E130" s="203">
        <v>1314.5</v>
      </c>
      <c r="F130" s="203">
        <v>1566.2</v>
      </c>
      <c r="G130" s="203">
        <v>977.9</v>
      </c>
      <c r="H130" s="203">
        <v>2414.8</v>
      </c>
      <c r="I130" s="203">
        <v>1363.3</v>
      </c>
      <c r="J130" s="203">
        <v>858</v>
      </c>
      <c r="K130" s="203">
        <v>2144</v>
      </c>
      <c r="L130" s="201"/>
      <c r="M130" s="201"/>
      <c r="N130" s="201"/>
      <c r="O130" s="11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</row>
    <row r="131" spans="1:27" s="1" customFormat="1" ht="12.75">
      <c r="A131" s="257">
        <v>38718</v>
      </c>
      <c r="B131" s="258">
        <v>38903</v>
      </c>
      <c r="C131" s="200">
        <v>339.16</v>
      </c>
      <c r="D131" s="200">
        <v>1473.6</v>
      </c>
      <c r="E131" s="200">
        <v>1332.3</v>
      </c>
      <c r="F131" s="200">
        <v>1572.2</v>
      </c>
      <c r="G131" s="200">
        <v>978.2</v>
      </c>
      <c r="H131" s="200">
        <v>2536</v>
      </c>
      <c r="I131" s="200">
        <v>1381.4</v>
      </c>
      <c r="J131" s="200">
        <v>868.7</v>
      </c>
      <c r="K131" s="200">
        <v>2305.6</v>
      </c>
      <c r="L131" s="201"/>
      <c r="M131" s="201"/>
      <c r="N131" s="201"/>
      <c r="O131" s="11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</row>
    <row r="132" spans="1:27" s="1" customFormat="1" ht="12.75">
      <c r="A132" s="257">
        <v>38749</v>
      </c>
      <c r="B132" s="258">
        <v>39112</v>
      </c>
      <c r="C132" s="200">
        <v>339.16</v>
      </c>
      <c r="D132" s="200">
        <v>1552.2</v>
      </c>
      <c r="E132" s="200">
        <v>1345.4</v>
      </c>
      <c r="F132" s="200">
        <v>1579.4</v>
      </c>
      <c r="G132" s="200">
        <v>978.6</v>
      </c>
      <c r="H132" s="200">
        <v>2586.7</v>
      </c>
      <c r="I132" s="200">
        <v>1473.9</v>
      </c>
      <c r="J132" s="200">
        <v>896.2</v>
      </c>
      <c r="K132" s="200">
        <v>2420.4</v>
      </c>
      <c r="L132" s="201"/>
      <c r="M132" s="201"/>
      <c r="N132" s="201"/>
      <c r="O132" s="11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</row>
    <row r="133" spans="1:27" s="1" customFormat="1" ht="12.75">
      <c r="A133" s="257">
        <v>38777</v>
      </c>
      <c r="B133" s="258">
        <v>39112</v>
      </c>
      <c r="C133" s="200">
        <v>341.18</v>
      </c>
      <c r="D133" s="200">
        <v>1561.6</v>
      </c>
      <c r="E133" s="200">
        <v>1349.3</v>
      </c>
      <c r="F133" s="200">
        <v>1582.5</v>
      </c>
      <c r="G133" s="200">
        <v>1006.9</v>
      </c>
      <c r="H133" s="200">
        <v>2586.5</v>
      </c>
      <c r="I133" s="200">
        <v>1498.4</v>
      </c>
      <c r="J133" s="200">
        <v>916.5</v>
      </c>
      <c r="K133" s="200">
        <v>2538.6</v>
      </c>
      <c r="L133" s="201"/>
      <c r="M133" s="201"/>
      <c r="N133" s="201"/>
      <c r="O133" s="11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</row>
    <row r="134" spans="1:27" s="1" customFormat="1" ht="12.75">
      <c r="A134" s="257">
        <v>38808</v>
      </c>
      <c r="B134" s="258">
        <v>39112</v>
      </c>
      <c r="C134" s="200">
        <v>345.24</v>
      </c>
      <c r="D134" s="200">
        <v>1563.2</v>
      </c>
      <c r="E134" s="200">
        <v>1360.4</v>
      </c>
      <c r="F134" s="200">
        <v>1586</v>
      </c>
      <c r="G134" s="200">
        <v>1016</v>
      </c>
      <c r="H134" s="200">
        <v>2587.8</v>
      </c>
      <c r="I134" s="200">
        <v>1838.3</v>
      </c>
      <c r="J134" s="200">
        <v>895.2</v>
      </c>
      <c r="K134" s="200">
        <v>2608.7</v>
      </c>
      <c r="L134" s="201"/>
      <c r="M134" s="201"/>
      <c r="N134" s="201"/>
      <c r="O134" s="11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</row>
    <row r="135" spans="1:27" s="1" customFormat="1" ht="12.75">
      <c r="A135" s="257">
        <v>38838</v>
      </c>
      <c r="B135" s="258">
        <v>39112</v>
      </c>
      <c r="C135" s="200">
        <v>346.42</v>
      </c>
      <c r="D135" s="200">
        <v>1563.9</v>
      </c>
      <c r="E135" s="200">
        <v>1365.1</v>
      </c>
      <c r="F135" s="200">
        <v>1592.4</v>
      </c>
      <c r="G135" s="200">
        <v>1030.7</v>
      </c>
      <c r="H135" s="200">
        <v>2657.9</v>
      </c>
      <c r="I135" s="200">
        <v>2246</v>
      </c>
      <c r="J135" s="200">
        <v>922.4</v>
      </c>
      <c r="K135" s="200">
        <v>2622.9</v>
      </c>
      <c r="L135" s="201"/>
      <c r="M135" s="201"/>
      <c r="N135" s="201"/>
      <c r="O135" s="11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</row>
    <row r="136" spans="1:27" s="1" customFormat="1" ht="12.75">
      <c r="A136" s="257">
        <v>38869</v>
      </c>
      <c r="B136" s="258">
        <v>39112</v>
      </c>
      <c r="C136" s="200">
        <v>347</v>
      </c>
      <c r="D136" s="200">
        <v>1562.4</v>
      </c>
      <c r="E136" s="200">
        <v>1374.9</v>
      </c>
      <c r="F136" s="200">
        <v>1595.8</v>
      </c>
      <c r="G136" s="200">
        <v>1045.6</v>
      </c>
      <c r="H136" s="200">
        <v>2568.2</v>
      </c>
      <c r="I136" s="200">
        <v>2009.1</v>
      </c>
      <c r="J136" s="200">
        <v>954.5</v>
      </c>
      <c r="K136" s="200">
        <v>2575.6</v>
      </c>
      <c r="L136" s="201"/>
      <c r="M136" s="201"/>
      <c r="N136" s="201"/>
      <c r="O136" s="11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</row>
    <row r="137" spans="1:27" s="1" customFormat="1" ht="12.75">
      <c r="A137" s="257">
        <v>38899</v>
      </c>
      <c r="B137" s="258" t="s">
        <v>310</v>
      </c>
      <c r="C137" s="200">
        <v>345.23</v>
      </c>
      <c r="D137" s="200">
        <v>1563.5</v>
      </c>
      <c r="E137" s="200">
        <v>1376.8</v>
      </c>
      <c r="F137" s="200">
        <v>1600.7</v>
      </c>
      <c r="G137" s="200">
        <v>1060</v>
      </c>
      <c r="H137" s="200">
        <v>2605.3</v>
      </c>
      <c r="I137" s="200">
        <v>2147.1</v>
      </c>
      <c r="J137" s="200">
        <v>886.6</v>
      </c>
      <c r="K137" s="200">
        <v>2582.2</v>
      </c>
      <c r="L137" s="201"/>
      <c r="M137" s="201"/>
      <c r="N137" s="201"/>
      <c r="O137" s="11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</row>
    <row r="138" spans="1:27" s="1" customFormat="1" ht="12.75">
      <c r="A138" s="257">
        <v>38930</v>
      </c>
      <c r="B138" s="258" t="s">
        <v>310</v>
      </c>
      <c r="C138" s="200">
        <v>345.82</v>
      </c>
      <c r="D138" s="200">
        <v>1561.2</v>
      </c>
      <c r="E138" s="200">
        <v>1377</v>
      </c>
      <c r="F138" s="200">
        <v>1603.1</v>
      </c>
      <c r="G138" s="200">
        <v>1083.4</v>
      </c>
      <c r="H138" s="200">
        <v>2631.1</v>
      </c>
      <c r="I138" s="200">
        <v>2121.4</v>
      </c>
      <c r="J138" s="200">
        <v>885.7</v>
      </c>
      <c r="K138" s="200">
        <v>2584.3</v>
      </c>
      <c r="L138" s="201"/>
      <c r="M138" s="201"/>
      <c r="N138" s="201"/>
      <c r="O138" s="11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</row>
    <row r="139" spans="1:27" s="1" customFormat="1" ht="12.75">
      <c r="A139" s="257">
        <v>38961</v>
      </c>
      <c r="B139" s="258" t="s">
        <v>310</v>
      </c>
      <c r="C139" s="200">
        <v>345.23</v>
      </c>
      <c r="D139" s="200">
        <v>1564.9</v>
      </c>
      <c r="E139" s="200">
        <v>1379.2</v>
      </c>
      <c r="F139" s="200">
        <v>1605.3</v>
      </c>
      <c r="G139" s="200">
        <v>1099.9</v>
      </c>
      <c r="H139" s="200">
        <v>2504.9</v>
      </c>
      <c r="I139" s="200">
        <v>2109.5</v>
      </c>
      <c r="J139" s="200">
        <v>877.9</v>
      </c>
      <c r="K139" s="200">
        <v>2363.7</v>
      </c>
      <c r="L139" s="201"/>
      <c r="M139" s="201"/>
      <c r="N139" s="201"/>
      <c r="O139" s="11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</row>
    <row r="140" spans="1:27" s="1" customFormat="1" ht="12.75">
      <c r="A140" s="257">
        <v>38991</v>
      </c>
      <c r="B140" s="258">
        <v>39231</v>
      </c>
      <c r="C140" s="200">
        <v>346.41</v>
      </c>
      <c r="D140" s="200">
        <v>1565.4</v>
      </c>
      <c r="E140" s="200">
        <v>1396.8</v>
      </c>
      <c r="F140" s="200">
        <v>1607.3</v>
      </c>
      <c r="G140" s="200">
        <v>1102.8</v>
      </c>
      <c r="H140" s="200">
        <v>2381.4</v>
      </c>
      <c r="I140" s="200">
        <v>2100.2</v>
      </c>
      <c r="J140" s="200">
        <v>868.5</v>
      </c>
      <c r="K140" s="200">
        <v>2195.5</v>
      </c>
      <c r="L140" s="201"/>
      <c r="M140" s="201"/>
      <c r="N140" s="201"/>
      <c r="O140" s="11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</row>
    <row r="141" spans="1:27" s="1" customFormat="1" ht="12.75">
      <c r="A141" s="257">
        <v>39022</v>
      </c>
      <c r="B141" s="258">
        <v>39231</v>
      </c>
      <c r="C141" s="200">
        <v>347</v>
      </c>
      <c r="D141" s="200">
        <v>1572</v>
      </c>
      <c r="E141" s="200">
        <v>1411.2</v>
      </c>
      <c r="F141" s="200">
        <v>1611.9</v>
      </c>
      <c r="G141" s="200">
        <v>1091.5</v>
      </c>
      <c r="H141" s="200">
        <v>2370.1</v>
      </c>
      <c r="I141" s="200">
        <v>1927.1</v>
      </c>
      <c r="J141" s="200">
        <v>894.3</v>
      </c>
      <c r="K141" s="200">
        <v>2137.8</v>
      </c>
      <c r="L141" s="201"/>
      <c r="M141" s="201"/>
      <c r="N141" s="201"/>
      <c r="O141" s="11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</row>
    <row r="142" spans="1:27" s="1" customFormat="1" ht="12.75">
      <c r="A142" s="259">
        <v>39052</v>
      </c>
      <c r="B142" s="260">
        <v>39231</v>
      </c>
      <c r="C142" s="203">
        <v>347.88</v>
      </c>
      <c r="D142" s="203">
        <v>1577.9</v>
      </c>
      <c r="E142" s="203">
        <v>1411.2</v>
      </c>
      <c r="F142" s="203">
        <v>1615.6</v>
      </c>
      <c r="G142" s="203">
        <v>1073</v>
      </c>
      <c r="H142" s="203">
        <v>2335.6</v>
      </c>
      <c r="I142" s="203">
        <v>1784.1</v>
      </c>
      <c r="J142" s="203">
        <v>889.9</v>
      </c>
      <c r="K142" s="203">
        <v>2108.7</v>
      </c>
      <c r="L142" s="201"/>
      <c r="M142" s="201"/>
      <c r="N142" s="201"/>
      <c r="O142" s="11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</row>
    <row r="143" spans="1:27" s="1" customFormat="1" ht="12.75">
      <c r="A143" s="257">
        <v>39083</v>
      </c>
      <c r="B143" s="258">
        <v>39296</v>
      </c>
      <c r="C143" s="200">
        <v>345.81</v>
      </c>
      <c r="D143" s="200">
        <v>1634.3</v>
      </c>
      <c r="E143" s="200">
        <v>1431.3</v>
      </c>
      <c r="F143" s="200">
        <v>1638.1</v>
      </c>
      <c r="G143" s="200">
        <v>1079.6</v>
      </c>
      <c r="H143" s="200">
        <v>2291.5</v>
      </c>
      <c r="I143" s="200">
        <v>1540.4</v>
      </c>
      <c r="J143" s="200">
        <v>884.6</v>
      </c>
      <c r="K143" s="200">
        <v>2035.3</v>
      </c>
      <c r="L143" s="201"/>
      <c r="M143" s="201"/>
      <c r="N143" s="201"/>
      <c r="O143" s="11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</row>
    <row r="144" spans="1:27" s="1" customFormat="1" ht="12.75">
      <c r="A144" s="257">
        <v>39114</v>
      </c>
      <c r="B144" s="258">
        <v>39296</v>
      </c>
      <c r="C144" s="200">
        <v>346.11</v>
      </c>
      <c r="D144" s="200">
        <v>1683.9</v>
      </c>
      <c r="E144" s="200">
        <v>1465.5</v>
      </c>
      <c r="F144" s="200">
        <v>1661.3</v>
      </c>
      <c r="G144" s="200">
        <v>1082</v>
      </c>
      <c r="H144" s="200">
        <v>2280.7</v>
      </c>
      <c r="I144" s="200">
        <v>1533.4</v>
      </c>
      <c r="J144" s="200">
        <v>885.6</v>
      </c>
      <c r="K144" s="200">
        <v>2053.8</v>
      </c>
      <c r="L144" s="201"/>
      <c r="M144" s="201"/>
      <c r="N144" s="201"/>
      <c r="O144" s="11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</row>
    <row r="145" spans="1:27" s="1" customFormat="1" ht="12.75">
      <c r="A145" s="257">
        <v>39142</v>
      </c>
      <c r="B145" s="258">
        <v>39463</v>
      </c>
      <c r="C145" s="200">
        <v>348.46</v>
      </c>
      <c r="D145" s="200">
        <v>1692.4</v>
      </c>
      <c r="E145" s="200">
        <v>1466.7</v>
      </c>
      <c r="F145" s="200">
        <v>1666.4</v>
      </c>
      <c r="G145" s="200">
        <v>1121.9</v>
      </c>
      <c r="H145" s="200">
        <v>2320.5</v>
      </c>
      <c r="I145" s="200">
        <v>1720.8</v>
      </c>
      <c r="J145" s="200">
        <v>888.7</v>
      </c>
      <c r="K145" s="200">
        <v>2209.2</v>
      </c>
      <c r="L145" s="201"/>
      <c r="M145" s="201"/>
      <c r="N145" s="201"/>
      <c r="O145" s="11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</row>
    <row r="146" spans="1:27" s="1" customFormat="1" ht="12.75">
      <c r="A146" s="257">
        <v>39173</v>
      </c>
      <c r="B146" s="258">
        <v>39463</v>
      </c>
      <c r="C146" s="200">
        <v>352.61</v>
      </c>
      <c r="D146" s="200">
        <v>1694.2</v>
      </c>
      <c r="E146" s="200">
        <v>1467.8</v>
      </c>
      <c r="F146" s="200">
        <v>1670.1</v>
      </c>
      <c r="G146" s="200">
        <v>1155</v>
      </c>
      <c r="H146" s="200">
        <v>2395.8</v>
      </c>
      <c r="I146" s="200">
        <v>2029.2</v>
      </c>
      <c r="J146" s="200">
        <v>889.5</v>
      </c>
      <c r="K146" s="200">
        <v>2444.1</v>
      </c>
      <c r="L146" s="201"/>
      <c r="M146" s="201"/>
      <c r="N146" s="201"/>
      <c r="O146" s="11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</row>
    <row r="147" spans="1:27" s="1" customFormat="1" ht="12.75">
      <c r="A147" s="257">
        <v>39203</v>
      </c>
      <c r="B147" s="258">
        <v>39463</v>
      </c>
      <c r="C147" s="200">
        <v>353.5</v>
      </c>
      <c r="D147" s="200">
        <v>1691.2</v>
      </c>
      <c r="E147" s="200">
        <v>1471.4</v>
      </c>
      <c r="F147" s="200">
        <v>1675.1</v>
      </c>
      <c r="G147" s="200">
        <v>1172.4</v>
      </c>
      <c r="H147" s="200">
        <v>2452.4</v>
      </c>
      <c r="I147" s="200">
        <v>2008</v>
      </c>
      <c r="J147" s="200">
        <v>879.3</v>
      </c>
      <c r="K147" s="200">
        <v>2586.5</v>
      </c>
      <c r="L147" s="201"/>
      <c r="M147" s="201"/>
      <c r="N147" s="201"/>
      <c r="O147" s="11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</row>
    <row r="148" spans="1:27" s="1" customFormat="1" ht="12.75">
      <c r="A148" s="257">
        <v>39234</v>
      </c>
      <c r="B148" s="258">
        <v>39463</v>
      </c>
      <c r="C148" s="200">
        <v>354.11</v>
      </c>
      <c r="D148" s="200">
        <v>1698.4</v>
      </c>
      <c r="E148" s="200">
        <v>1471.5</v>
      </c>
      <c r="F148" s="200">
        <v>1680.6</v>
      </c>
      <c r="G148" s="200">
        <v>1170.5</v>
      </c>
      <c r="H148" s="200">
        <v>2496.1</v>
      </c>
      <c r="I148" s="200">
        <v>1967.4</v>
      </c>
      <c r="J148" s="200">
        <v>891.2</v>
      </c>
      <c r="K148" s="200">
        <v>2691</v>
      </c>
      <c r="L148" s="201"/>
      <c r="M148" s="201"/>
      <c r="N148" s="201"/>
      <c r="O148" s="11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</row>
    <row r="149" spans="1:27" s="1" customFormat="1" ht="12.75">
      <c r="A149" s="257">
        <v>39264</v>
      </c>
      <c r="B149" s="258">
        <v>39463</v>
      </c>
      <c r="C149" s="200">
        <v>352</v>
      </c>
      <c r="D149" s="200">
        <v>1693.8</v>
      </c>
      <c r="E149" s="200">
        <v>1471.2</v>
      </c>
      <c r="F149" s="200">
        <v>1687</v>
      </c>
      <c r="G149" s="200">
        <v>1147.1</v>
      </c>
      <c r="H149" s="200">
        <v>2589.2</v>
      </c>
      <c r="I149" s="200">
        <v>2053.1</v>
      </c>
      <c r="J149" s="200">
        <v>865.4</v>
      </c>
      <c r="K149" s="200">
        <v>2828.8</v>
      </c>
      <c r="L149" s="201"/>
      <c r="M149" s="201"/>
      <c r="N149" s="201"/>
      <c r="O149" s="11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</row>
    <row r="150" spans="1:27" s="1" customFormat="1" ht="12.75">
      <c r="A150" s="257">
        <v>39295</v>
      </c>
      <c r="B150" s="258">
        <v>39597</v>
      </c>
      <c r="C150" s="200">
        <v>352.3</v>
      </c>
      <c r="D150" s="200">
        <v>1694.5</v>
      </c>
      <c r="E150" s="200">
        <v>1471.9</v>
      </c>
      <c r="F150" s="200">
        <v>1694.6</v>
      </c>
      <c r="G150" s="200">
        <v>1130.1</v>
      </c>
      <c r="H150" s="200">
        <v>2595.4</v>
      </c>
      <c r="I150" s="200">
        <v>1947.9</v>
      </c>
      <c r="J150" s="200">
        <v>838.6</v>
      </c>
      <c r="K150" s="200">
        <v>2967.1</v>
      </c>
      <c r="L150" s="201"/>
      <c r="M150" s="201"/>
      <c r="N150" s="201"/>
      <c r="O150" s="11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</row>
    <row r="151" spans="1:27" s="1" customFormat="1" ht="12.75">
      <c r="A151" s="257">
        <v>39326</v>
      </c>
      <c r="B151" s="258">
        <v>39597</v>
      </c>
      <c r="C151" s="200">
        <v>353.2</v>
      </c>
      <c r="D151" s="200">
        <v>1693.5</v>
      </c>
      <c r="E151" s="200">
        <v>1472</v>
      </c>
      <c r="F151" s="200">
        <v>1700.3</v>
      </c>
      <c r="G151" s="200">
        <v>1120.3</v>
      </c>
      <c r="H151" s="200">
        <v>2595.9</v>
      </c>
      <c r="I151" s="200">
        <v>1943.9</v>
      </c>
      <c r="J151" s="200">
        <v>805.9</v>
      </c>
      <c r="K151" s="200">
        <v>3009.3</v>
      </c>
      <c r="L151" s="201"/>
      <c r="M151" s="201"/>
      <c r="N151" s="201"/>
      <c r="O151" s="11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</row>
    <row r="152" spans="1:27" s="1" customFormat="1" ht="12.75">
      <c r="A152" s="257">
        <v>39356</v>
      </c>
      <c r="B152" s="258">
        <v>39597</v>
      </c>
      <c r="C152" s="200">
        <v>357.1</v>
      </c>
      <c r="D152" s="200">
        <v>1684.9</v>
      </c>
      <c r="E152" s="200">
        <v>1476.4</v>
      </c>
      <c r="F152" s="200">
        <v>1706.1</v>
      </c>
      <c r="G152" s="200">
        <v>1105.2</v>
      </c>
      <c r="H152" s="200">
        <v>2682.5</v>
      </c>
      <c r="I152" s="200">
        <v>1987.9</v>
      </c>
      <c r="J152" s="200">
        <v>794.8</v>
      </c>
      <c r="K152" s="200">
        <v>3200.4</v>
      </c>
      <c r="L152" s="201"/>
      <c r="M152" s="201"/>
      <c r="N152" s="201"/>
      <c r="O152" s="11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</row>
    <row r="153" spans="1:27" s="1" customFormat="1" ht="12.75">
      <c r="A153" s="257">
        <v>39387</v>
      </c>
      <c r="B153" s="258">
        <v>39597</v>
      </c>
      <c r="C153" s="200">
        <v>359.22</v>
      </c>
      <c r="D153" s="200">
        <v>1678.6</v>
      </c>
      <c r="E153" s="200">
        <v>1474.9</v>
      </c>
      <c r="F153" s="200">
        <v>1711</v>
      </c>
      <c r="G153" s="200">
        <v>1091.9</v>
      </c>
      <c r="H153" s="200">
        <v>2804.2</v>
      </c>
      <c r="I153" s="200">
        <v>1675.5</v>
      </c>
      <c r="J153" s="200">
        <v>794</v>
      </c>
      <c r="K153" s="200">
        <v>3569.6</v>
      </c>
      <c r="L153" s="201"/>
      <c r="M153" s="201"/>
      <c r="N153" s="201"/>
      <c r="O153" s="11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</row>
    <row r="154" spans="1:27" s="1" customFormat="1" ht="12.75">
      <c r="A154" s="259">
        <v>39417</v>
      </c>
      <c r="B154" s="260">
        <v>39597</v>
      </c>
      <c r="C154" s="203">
        <v>360.44</v>
      </c>
      <c r="D154" s="203">
        <v>1675.5</v>
      </c>
      <c r="E154" s="203">
        <v>1474.5</v>
      </c>
      <c r="F154" s="203">
        <v>1715.3</v>
      </c>
      <c r="G154" s="203">
        <v>1071.4</v>
      </c>
      <c r="H154" s="203">
        <v>2824.3</v>
      </c>
      <c r="I154" s="203">
        <v>1596.7</v>
      </c>
      <c r="J154" s="203">
        <v>779.1</v>
      </c>
      <c r="K154" s="203">
        <v>3226.1</v>
      </c>
      <c r="L154" s="201"/>
      <c r="M154" s="201"/>
      <c r="N154" s="201"/>
      <c r="O154" s="11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</row>
    <row r="155" spans="1:27" s="1" customFormat="1" ht="12.75">
      <c r="A155" s="257">
        <v>39448</v>
      </c>
      <c r="B155" s="258">
        <v>39666</v>
      </c>
      <c r="C155" s="200">
        <v>358.61</v>
      </c>
      <c r="D155" s="200">
        <v>1691.8</v>
      </c>
      <c r="E155" s="200">
        <v>1483.4</v>
      </c>
      <c r="F155" s="200">
        <v>1724.7</v>
      </c>
      <c r="G155" s="200">
        <v>1094.9</v>
      </c>
      <c r="H155" s="200">
        <v>2912.3</v>
      </c>
      <c r="I155" s="200">
        <v>1694.2</v>
      </c>
      <c r="J155" s="200">
        <v>775.5</v>
      </c>
      <c r="K155" s="200">
        <v>3161.1</v>
      </c>
      <c r="L155" s="201"/>
      <c r="M155" s="201"/>
      <c r="N155" s="201"/>
      <c r="O155" s="11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</row>
    <row r="156" spans="1:27" s="1" customFormat="1" ht="12.75">
      <c r="A156" s="257">
        <v>39479</v>
      </c>
      <c r="B156" s="258">
        <v>39666</v>
      </c>
      <c r="C156" s="200">
        <v>359.22</v>
      </c>
      <c r="D156" s="200">
        <v>1739</v>
      </c>
      <c r="E156" s="200">
        <v>1492.9</v>
      </c>
      <c r="F156" s="200">
        <v>1726.3</v>
      </c>
      <c r="G156" s="200">
        <v>1132.4</v>
      </c>
      <c r="H156" s="200">
        <v>2826.3</v>
      </c>
      <c r="I156" s="200">
        <v>1888.7</v>
      </c>
      <c r="J156" s="200">
        <v>811.2</v>
      </c>
      <c r="K156" s="200">
        <v>3331.1</v>
      </c>
      <c r="L156" s="201"/>
      <c r="M156" s="201"/>
      <c r="N156" s="201"/>
      <c r="O156" s="11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</row>
    <row r="157" spans="1:27" s="1" customFormat="1" ht="12.75">
      <c r="A157" s="257">
        <v>39508</v>
      </c>
      <c r="B157" s="258">
        <v>39666</v>
      </c>
      <c r="C157" s="200">
        <v>361.96</v>
      </c>
      <c r="D157" s="200">
        <v>1737.4</v>
      </c>
      <c r="E157" s="200">
        <v>1496.3</v>
      </c>
      <c r="F157" s="200">
        <v>1727.4</v>
      </c>
      <c r="G157" s="200">
        <v>1178.3</v>
      </c>
      <c r="H157" s="200">
        <v>2934.5</v>
      </c>
      <c r="I157" s="200">
        <v>1919.4</v>
      </c>
      <c r="J157" s="200">
        <v>842.6</v>
      </c>
      <c r="K157" s="200">
        <v>3174.3</v>
      </c>
      <c r="L157" s="201"/>
      <c r="M157" s="201"/>
      <c r="N157" s="201" t="s">
        <v>311</v>
      </c>
      <c r="O157" s="11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</row>
    <row r="158" spans="1:27" s="1" customFormat="1" ht="12.75">
      <c r="A158" s="257">
        <v>39539</v>
      </c>
      <c r="B158" s="258">
        <v>39765</v>
      </c>
      <c r="C158" s="200">
        <f aca="true" t="shared" si="0" ref="C158:C189">IF($O$1=4,$C$157,N158)</f>
        <v>365.35</v>
      </c>
      <c r="D158" s="200">
        <v>1722.1</v>
      </c>
      <c r="E158" s="200">
        <v>1503.3</v>
      </c>
      <c r="F158" s="200">
        <v>1729.8</v>
      </c>
      <c r="G158" s="200">
        <v>1233.5</v>
      </c>
      <c r="H158" s="200">
        <v>3020</v>
      </c>
      <c r="I158" s="200">
        <v>1947.2</v>
      </c>
      <c r="J158" s="200">
        <v>819.8</v>
      </c>
      <c r="K158" s="200">
        <v>3232.1</v>
      </c>
      <c r="L158" s="201"/>
      <c r="M158" s="257">
        <v>39539</v>
      </c>
      <c r="N158" s="200">
        <v>365.35</v>
      </c>
      <c r="O158" s="11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</row>
    <row r="159" spans="1:27" s="1" customFormat="1" ht="12.75">
      <c r="A159" s="257">
        <v>39569</v>
      </c>
      <c r="B159" s="258">
        <v>39765</v>
      </c>
      <c r="C159" s="200">
        <f t="shared" si="0"/>
        <v>367.52</v>
      </c>
      <c r="D159" s="200">
        <v>1730.7</v>
      </c>
      <c r="E159" s="200">
        <v>1499.4</v>
      </c>
      <c r="F159" s="200">
        <v>1732.2</v>
      </c>
      <c r="G159" s="200">
        <v>1295.5</v>
      </c>
      <c r="H159" s="200">
        <v>3248.3</v>
      </c>
      <c r="I159" s="200">
        <v>1902.9</v>
      </c>
      <c r="J159" s="200">
        <v>824.9</v>
      </c>
      <c r="K159" s="200">
        <v>3525.6</v>
      </c>
      <c r="L159" s="201"/>
      <c r="M159" s="257">
        <v>39569</v>
      </c>
      <c r="N159" s="200">
        <v>367.52</v>
      </c>
      <c r="O159" s="11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</row>
    <row r="160" spans="1:27" s="1" customFormat="1" ht="12.75">
      <c r="A160" s="257">
        <v>39600</v>
      </c>
      <c r="B160" s="258">
        <v>39765</v>
      </c>
      <c r="C160" s="200">
        <f t="shared" si="0"/>
        <v>369.4</v>
      </c>
      <c r="D160" s="200">
        <v>1725.2</v>
      </c>
      <c r="E160" s="200">
        <v>1500</v>
      </c>
      <c r="F160" s="200">
        <v>1732.2</v>
      </c>
      <c r="G160" s="200">
        <v>1368.8</v>
      </c>
      <c r="H160" s="200">
        <v>3453.1</v>
      </c>
      <c r="I160" s="200">
        <v>1875.7</v>
      </c>
      <c r="J160" s="200">
        <v>818.6</v>
      </c>
      <c r="K160" s="200">
        <v>3871.8</v>
      </c>
      <c r="L160" s="201"/>
      <c r="M160" s="257">
        <v>39600</v>
      </c>
      <c r="N160" s="200">
        <v>369.4</v>
      </c>
      <c r="O160" s="11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</row>
    <row r="161" spans="1:27" s="1" customFormat="1" ht="12.75">
      <c r="A161" s="257">
        <v>39630</v>
      </c>
      <c r="B161" s="258">
        <v>39982</v>
      </c>
      <c r="C161" s="200">
        <f t="shared" si="0"/>
        <v>367.83</v>
      </c>
      <c r="D161" s="200">
        <v>1716</v>
      </c>
      <c r="E161" s="200">
        <v>1498.8</v>
      </c>
      <c r="F161" s="200">
        <v>1734.1</v>
      </c>
      <c r="G161" s="200">
        <v>1446.5</v>
      </c>
      <c r="H161" s="200">
        <v>3726.5</v>
      </c>
      <c r="I161" s="200">
        <v>1884.2</v>
      </c>
      <c r="J161" s="200">
        <v>843</v>
      </c>
      <c r="K161" s="200">
        <v>4196.8</v>
      </c>
      <c r="L161" s="201"/>
      <c r="M161" s="257">
        <v>39630</v>
      </c>
      <c r="N161" s="200">
        <v>367.83</v>
      </c>
      <c r="O161" s="11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</row>
    <row r="162" spans="1:27" s="1" customFormat="1" ht="12.75">
      <c r="A162" s="257">
        <v>39661</v>
      </c>
      <c r="B162" s="258">
        <v>39982</v>
      </c>
      <c r="C162" s="200">
        <f t="shared" si="0"/>
        <v>367.2</v>
      </c>
      <c r="D162" s="200">
        <v>1720.6</v>
      </c>
      <c r="E162" s="200">
        <v>1499.9</v>
      </c>
      <c r="F162" s="200">
        <v>1737.1</v>
      </c>
      <c r="G162" s="200">
        <v>1455.4</v>
      </c>
      <c r="H162" s="200">
        <v>3446.5</v>
      </c>
      <c r="I162" s="200">
        <v>1800.5</v>
      </c>
      <c r="J162" s="200">
        <v>817.4</v>
      </c>
      <c r="K162" s="200">
        <v>4318.7</v>
      </c>
      <c r="L162" s="201"/>
      <c r="M162" s="257">
        <v>39661</v>
      </c>
      <c r="N162" s="200">
        <v>367.2</v>
      </c>
      <c r="O162" s="11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</row>
    <row r="163" spans="1:27" s="1" customFormat="1" ht="12.75">
      <c r="A163" s="257">
        <v>39692</v>
      </c>
      <c r="B163" s="258">
        <v>39982</v>
      </c>
      <c r="C163" s="200">
        <f t="shared" si="0"/>
        <v>367.2</v>
      </c>
      <c r="D163" s="200">
        <v>1706.6</v>
      </c>
      <c r="E163" s="200">
        <v>1489.6</v>
      </c>
      <c r="F163" s="200">
        <v>1734.6</v>
      </c>
      <c r="G163" s="200">
        <v>1430.1</v>
      </c>
      <c r="H163" s="200">
        <v>3160.6</v>
      </c>
      <c r="I163" s="200">
        <v>1718</v>
      </c>
      <c r="J163" s="200">
        <v>795.8</v>
      </c>
      <c r="K163" s="200">
        <v>4273.2</v>
      </c>
      <c r="L163" s="201"/>
      <c r="M163" s="257">
        <v>39692</v>
      </c>
      <c r="N163" s="200">
        <v>367.2</v>
      </c>
      <c r="O163" s="11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</row>
    <row r="164" spans="1:27" s="1" customFormat="1" ht="12.75">
      <c r="A164" s="257">
        <v>39722</v>
      </c>
      <c r="B164" s="258">
        <v>39982</v>
      </c>
      <c r="C164" s="200">
        <f t="shared" si="0"/>
        <v>368.14</v>
      </c>
      <c r="D164" s="200">
        <v>1693.9</v>
      </c>
      <c r="E164" s="200">
        <v>1472.6</v>
      </c>
      <c r="F164" s="200">
        <v>1733.4</v>
      </c>
      <c r="G164" s="200">
        <v>1327.4</v>
      </c>
      <c r="H164" s="200">
        <v>2945.6</v>
      </c>
      <c r="I164" s="200">
        <v>1305.7</v>
      </c>
      <c r="J164" s="200">
        <v>764.8</v>
      </c>
      <c r="K164" s="200">
        <v>3245</v>
      </c>
      <c r="L164" s="201"/>
      <c r="M164" s="257">
        <v>39722</v>
      </c>
      <c r="N164" s="200">
        <v>368.14</v>
      </c>
      <c r="O164" s="11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</row>
    <row r="165" spans="1:27" s="1" customFormat="1" ht="12.75">
      <c r="A165" s="257">
        <v>39753</v>
      </c>
      <c r="B165" s="258">
        <v>39982</v>
      </c>
      <c r="C165" s="200">
        <f t="shared" si="0"/>
        <v>366.89</v>
      </c>
      <c r="D165" s="200">
        <v>1710.7</v>
      </c>
      <c r="E165" s="200">
        <v>1470.9</v>
      </c>
      <c r="F165" s="200">
        <v>1732.6</v>
      </c>
      <c r="G165" s="200">
        <v>1201</v>
      </c>
      <c r="H165" s="200">
        <v>2501.6</v>
      </c>
      <c r="I165" s="200">
        <v>1031</v>
      </c>
      <c r="J165" s="200">
        <v>729.8</v>
      </c>
      <c r="K165" s="200">
        <v>2120.1</v>
      </c>
      <c r="L165" s="201"/>
      <c r="M165" s="257">
        <v>39753</v>
      </c>
      <c r="N165" s="200">
        <v>366.89</v>
      </c>
      <c r="O165" s="11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</row>
    <row r="166" spans="1:27" s="1" customFormat="1" ht="12.75">
      <c r="A166" s="259">
        <v>39783</v>
      </c>
      <c r="B166" s="260">
        <v>39982</v>
      </c>
      <c r="C166" s="203">
        <f t="shared" si="0"/>
        <v>365.33</v>
      </c>
      <c r="D166" s="203">
        <v>1707.7</v>
      </c>
      <c r="E166" s="203">
        <v>1460.9</v>
      </c>
      <c r="F166" s="203">
        <v>1730.5</v>
      </c>
      <c r="G166" s="203">
        <v>1173.7</v>
      </c>
      <c r="H166" s="203">
        <v>2190.3</v>
      </c>
      <c r="I166" s="203">
        <v>806.7</v>
      </c>
      <c r="J166" s="203">
        <v>657.9</v>
      </c>
      <c r="K166" s="203">
        <v>1697.7</v>
      </c>
      <c r="L166" s="259"/>
      <c r="M166" s="259">
        <v>39783</v>
      </c>
      <c r="N166" s="203">
        <v>365.33</v>
      </c>
      <c r="O166" s="11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</row>
    <row r="167" spans="1:27" s="1" customFormat="1" ht="12.75">
      <c r="A167" s="257">
        <v>39814</v>
      </c>
      <c r="B167" s="258">
        <v>40176</v>
      </c>
      <c r="C167" s="200">
        <f t="shared" si="0"/>
        <v>361.6</v>
      </c>
      <c r="D167" s="200">
        <v>1712.1</v>
      </c>
      <c r="E167" s="200">
        <v>1462.9</v>
      </c>
      <c r="F167" s="200">
        <v>1735.4</v>
      </c>
      <c r="G167" s="200">
        <v>1102.9</v>
      </c>
      <c r="H167" s="200">
        <v>2179.8</v>
      </c>
      <c r="I167" s="200">
        <v>859.1</v>
      </c>
      <c r="J167" s="200">
        <v>628.7</v>
      </c>
      <c r="K167" s="200">
        <v>2018.3</v>
      </c>
      <c r="L167" s="201"/>
      <c r="M167" s="257">
        <v>39814</v>
      </c>
      <c r="N167" s="200">
        <v>361.6</v>
      </c>
      <c r="O167" s="11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</row>
    <row r="168" spans="1:27" s="1" customFormat="1" ht="12.75">
      <c r="A168" s="257">
        <v>39845</v>
      </c>
      <c r="B168" s="258">
        <v>40176</v>
      </c>
      <c r="C168" s="200">
        <f t="shared" si="0"/>
        <v>361.6</v>
      </c>
      <c r="D168" s="200">
        <v>1705</v>
      </c>
      <c r="E168" s="200">
        <v>1460.5</v>
      </c>
      <c r="F168" s="200">
        <v>1736.4</v>
      </c>
      <c r="G168" s="200">
        <v>1099.3</v>
      </c>
      <c r="H168" s="200">
        <v>2199</v>
      </c>
      <c r="I168" s="200">
        <v>915.6</v>
      </c>
      <c r="J168" s="200">
        <v>609.5</v>
      </c>
      <c r="K168" s="200">
        <v>2205</v>
      </c>
      <c r="L168" s="201"/>
      <c r="M168" s="257">
        <v>39845</v>
      </c>
      <c r="N168" s="200">
        <v>361.6</v>
      </c>
      <c r="O168" s="11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</row>
    <row r="169" spans="1:27" s="1" customFormat="1" ht="12.75">
      <c r="A169" s="257">
        <v>39873</v>
      </c>
      <c r="B169" s="258">
        <v>40176</v>
      </c>
      <c r="C169" s="200">
        <f t="shared" si="0"/>
        <v>362.22</v>
      </c>
      <c r="D169" s="200">
        <v>1685.6</v>
      </c>
      <c r="E169" s="200">
        <v>1458.8</v>
      </c>
      <c r="F169" s="200">
        <v>1735.6</v>
      </c>
      <c r="G169" s="200">
        <v>1030.5</v>
      </c>
      <c r="H169" s="200">
        <v>2169.8</v>
      </c>
      <c r="I169" s="200">
        <v>1014.7</v>
      </c>
      <c r="J169" s="200">
        <v>605.9</v>
      </c>
      <c r="K169" s="200">
        <v>2237.4</v>
      </c>
      <c r="L169" s="201"/>
      <c r="M169" s="257">
        <v>39873</v>
      </c>
      <c r="N169" s="200">
        <v>362.22</v>
      </c>
      <c r="O169" s="11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</row>
    <row r="170" spans="1:27" s="1" customFormat="1" ht="12.75">
      <c r="A170" s="257">
        <v>39904</v>
      </c>
      <c r="B170" s="258">
        <v>40176</v>
      </c>
      <c r="C170" s="200">
        <f t="shared" si="0"/>
        <v>365.29</v>
      </c>
      <c r="D170" s="200">
        <v>1663.8</v>
      </c>
      <c r="E170" s="200">
        <v>1457.6</v>
      </c>
      <c r="F170" s="200">
        <v>1734.5</v>
      </c>
      <c r="G170" s="200">
        <v>983.3</v>
      </c>
      <c r="H170" s="200">
        <v>2259</v>
      </c>
      <c r="I170" s="200">
        <v>1179.8</v>
      </c>
      <c r="J170" s="200">
        <v>622.9</v>
      </c>
      <c r="K170" s="200">
        <v>2540.3</v>
      </c>
      <c r="L170" s="201"/>
      <c r="M170" s="257">
        <v>39904</v>
      </c>
      <c r="N170" s="200">
        <v>365.29</v>
      </c>
      <c r="O170" s="11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</row>
    <row r="171" spans="1:27" s="1" customFormat="1" ht="12.75">
      <c r="A171" s="257">
        <v>39934</v>
      </c>
      <c r="B171" s="258">
        <v>40176</v>
      </c>
      <c r="C171" s="200">
        <f t="shared" si="0"/>
        <v>365.29</v>
      </c>
      <c r="D171" s="200">
        <v>1657.9</v>
      </c>
      <c r="E171" s="200">
        <v>1458.2</v>
      </c>
      <c r="F171" s="200">
        <v>1731.1</v>
      </c>
      <c r="G171" s="200">
        <v>958.6</v>
      </c>
      <c r="H171" s="200">
        <v>2314.1</v>
      </c>
      <c r="I171" s="200">
        <v>1182</v>
      </c>
      <c r="J171" s="200">
        <v>631</v>
      </c>
      <c r="K171" s="200">
        <v>2885.9</v>
      </c>
      <c r="L171" s="201"/>
      <c r="M171" s="257">
        <v>39934</v>
      </c>
      <c r="N171" s="200">
        <v>365.29</v>
      </c>
      <c r="O171" s="11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</row>
    <row r="172" spans="1:27" s="1" customFormat="1" ht="12.75">
      <c r="A172" s="257">
        <v>39965</v>
      </c>
      <c r="B172" s="258">
        <v>40176</v>
      </c>
      <c r="C172" s="200">
        <f t="shared" si="0"/>
        <v>366.54</v>
      </c>
      <c r="D172" s="200">
        <v>1659.8</v>
      </c>
      <c r="E172" s="200">
        <v>1455.9</v>
      </c>
      <c r="F172" s="200">
        <v>1728.8</v>
      </c>
      <c r="G172" s="200">
        <v>954</v>
      </c>
      <c r="H172" s="200">
        <v>2455.3</v>
      </c>
      <c r="I172" s="200">
        <v>1263.3</v>
      </c>
      <c r="J172" s="200">
        <v>637.1</v>
      </c>
      <c r="K172" s="200">
        <v>3215.2</v>
      </c>
      <c r="L172" s="201"/>
      <c r="M172" s="257">
        <v>39965</v>
      </c>
      <c r="N172" s="200">
        <v>366.54</v>
      </c>
      <c r="O172" s="11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</row>
    <row r="173" spans="1:27" s="1" customFormat="1" ht="12.75">
      <c r="A173" s="257">
        <v>39995</v>
      </c>
      <c r="B173" s="258">
        <v>40278</v>
      </c>
      <c r="C173" s="200">
        <f t="shared" si="0"/>
        <v>363.73</v>
      </c>
      <c r="D173" s="200">
        <v>1630.9</v>
      </c>
      <c r="E173" s="200">
        <v>1454.4</v>
      </c>
      <c r="F173" s="200">
        <v>1727.7</v>
      </c>
      <c r="G173" s="200">
        <v>951</v>
      </c>
      <c r="H173" s="200">
        <v>2498.1</v>
      </c>
      <c r="I173" s="200">
        <v>1309.4</v>
      </c>
      <c r="J173" s="200">
        <v>643.3</v>
      </c>
      <c r="K173" s="200">
        <v>3364</v>
      </c>
      <c r="L173" s="201"/>
      <c r="M173" s="257">
        <v>39995</v>
      </c>
      <c r="N173" s="200">
        <v>363.73</v>
      </c>
      <c r="O173" s="11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</row>
    <row r="174" spans="1:27" s="1" customFormat="1" ht="12.75">
      <c r="A174" s="257">
        <v>40026</v>
      </c>
      <c r="B174" s="258">
        <v>40278</v>
      </c>
      <c r="C174" s="200">
        <f t="shared" si="0"/>
        <v>364.66</v>
      </c>
      <c r="D174" s="200">
        <v>1647.2</v>
      </c>
      <c r="E174" s="200">
        <v>1452.3</v>
      </c>
      <c r="F174" s="200">
        <v>1724.2</v>
      </c>
      <c r="G174" s="200">
        <v>951.6</v>
      </c>
      <c r="H174" s="200">
        <v>2563.2</v>
      </c>
      <c r="I174" s="200">
        <v>1519.4</v>
      </c>
      <c r="J174" s="200">
        <v>684.4</v>
      </c>
      <c r="K174" s="200">
        <v>3633.7</v>
      </c>
      <c r="L174" s="201"/>
      <c r="M174" s="257">
        <v>40026</v>
      </c>
      <c r="N174" s="200">
        <v>364.66</v>
      </c>
      <c r="O174" s="11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</row>
    <row r="175" spans="1:27" s="1" customFormat="1" ht="12.75">
      <c r="A175" s="257">
        <v>40057</v>
      </c>
      <c r="B175" s="258">
        <v>40278</v>
      </c>
      <c r="C175" s="200">
        <f t="shared" si="0"/>
        <v>364.04</v>
      </c>
      <c r="D175" s="200">
        <v>1635.9</v>
      </c>
      <c r="E175" s="200">
        <v>1457</v>
      </c>
      <c r="F175" s="200">
        <v>1723</v>
      </c>
      <c r="G175" s="200">
        <v>946.4</v>
      </c>
      <c r="H175" s="200">
        <v>2513.9</v>
      </c>
      <c r="I175" s="200">
        <v>1498.7</v>
      </c>
      <c r="J175" s="200">
        <v>679.8</v>
      </c>
      <c r="K175" s="200">
        <v>3478.4</v>
      </c>
      <c r="L175" s="201"/>
      <c r="M175" s="257">
        <v>40057</v>
      </c>
      <c r="N175" s="200">
        <v>364.04</v>
      </c>
      <c r="O175" s="11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</row>
    <row r="176" spans="1:27" s="1" customFormat="1" ht="12.75">
      <c r="A176" s="257">
        <v>40087</v>
      </c>
      <c r="B176" s="258">
        <v>40344</v>
      </c>
      <c r="C176" s="200">
        <f t="shared" si="0"/>
        <v>366.21</v>
      </c>
      <c r="D176" s="200">
        <v>1629.8</v>
      </c>
      <c r="E176" s="200">
        <v>1441.8</v>
      </c>
      <c r="F176" s="200">
        <v>1723.9</v>
      </c>
      <c r="G176" s="200">
        <v>954.8</v>
      </c>
      <c r="H176" s="200">
        <v>2528.3</v>
      </c>
      <c r="I176" s="200">
        <v>1487</v>
      </c>
      <c r="J176" s="200">
        <v>689.7</v>
      </c>
      <c r="K176" s="200">
        <v>3502.3</v>
      </c>
      <c r="L176" s="201"/>
      <c r="M176" s="257">
        <v>40087</v>
      </c>
      <c r="N176" s="200">
        <v>366.21</v>
      </c>
      <c r="O176" s="11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</row>
    <row r="177" spans="1:27" s="1" customFormat="1" ht="12.75">
      <c r="A177" s="257">
        <v>40118</v>
      </c>
      <c r="B177" s="258">
        <v>40344</v>
      </c>
      <c r="C177" s="200">
        <f t="shared" si="0"/>
        <v>367.76</v>
      </c>
      <c r="D177" s="200">
        <v>1618.7</v>
      </c>
      <c r="E177" s="200">
        <v>1433.6</v>
      </c>
      <c r="F177" s="200">
        <v>1723.8</v>
      </c>
      <c r="G177" s="200">
        <v>926.4</v>
      </c>
      <c r="H177" s="200">
        <v>2596.6</v>
      </c>
      <c r="I177" s="200">
        <v>1578.4</v>
      </c>
      <c r="J177" s="200">
        <v>700.8</v>
      </c>
      <c r="K177" s="200">
        <v>3729.4</v>
      </c>
      <c r="L177" s="201"/>
      <c r="M177" s="257">
        <v>40118</v>
      </c>
      <c r="N177" s="200">
        <v>367.76</v>
      </c>
      <c r="O177" s="11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</row>
    <row r="178" spans="1:27" s="1" customFormat="1" ht="12.75">
      <c r="A178" s="259">
        <v>40148</v>
      </c>
      <c r="B178" s="260">
        <v>40344</v>
      </c>
      <c r="C178" s="203">
        <f t="shared" si="0"/>
        <v>367.76</v>
      </c>
      <c r="D178" s="203">
        <v>1632.1</v>
      </c>
      <c r="E178" s="203">
        <v>1431.4</v>
      </c>
      <c r="F178" s="203">
        <v>1724.4</v>
      </c>
      <c r="G178" s="203">
        <v>909.9</v>
      </c>
      <c r="H178" s="203">
        <v>2575.3</v>
      </c>
      <c r="I178" s="203">
        <v>1680.8</v>
      </c>
      <c r="J178" s="203">
        <v>739.2</v>
      </c>
      <c r="K178" s="203">
        <v>3684</v>
      </c>
      <c r="L178" s="259"/>
      <c r="M178" s="259">
        <v>40148</v>
      </c>
      <c r="N178" s="203">
        <f>N177</f>
        <v>367.76</v>
      </c>
      <c r="O178" s="11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</row>
    <row r="179" spans="1:27" s="1" customFormat="1" ht="12.75">
      <c r="A179" s="257">
        <v>40179</v>
      </c>
      <c r="B179" s="258">
        <v>40428</v>
      </c>
      <c r="C179" s="200">
        <f t="shared" si="0"/>
        <v>364.64</v>
      </c>
      <c r="D179" s="200">
        <v>1612.6</v>
      </c>
      <c r="E179" s="200">
        <v>1432.7</v>
      </c>
      <c r="F179" s="200">
        <v>1725</v>
      </c>
      <c r="G179" s="200">
        <v>942.1</v>
      </c>
      <c r="H179" s="200">
        <v>2669.9</v>
      </c>
      <c r="I179" s="200">
        <v>1818.3</v>
      </c>
      <c r="J179" s="200">
        <v>765.5</v>
      </c>
      <c r="K179" s="200">
        <v>3896.2</v>
      </c>
      <c r="L179" s="201"/>
      <c r="M179" s="257">
        <v>40179</v>
      </c>
      <c r="N179" s="261">
        <v>364.64</v>
      </c>
      <c r="O179" s="11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</row>
    <row r="180" spans="1:27" s="1" customFormat="1" ht="12.75">
      <c r="A180" s="257">
        <v>40210</v>
      </c>
      <c r="B180" s="258">
        <v>40428</v>
      </c>
      <c r="C180" s="200">
        <f t="shared" si="0"/>
        <v>364.02</v>
      </c>
      <c r="D180" s="200">
        <v>1620.4</v>
      </c>
      <c r="E180" s="200">
        <v>1441.8</v>
      </c>
      <c r="F180" s="200">
        <v>1726</v>
      </c>
      <c r="G180" s="200">
        <v>941.8</v>
      </c>
      <c r="H180" s="200">
        <v>2680.9</v>
      </c>
      <c r="I180" s="200">
        <v>1756.2</v>
      </c>
      <c r="J180" s="200">
        <v>757.4</v>
      </c>
      <c r="K180" s="200">
        <v>4239</v>
      </c>
      <c r="L180" s="201"/>
      <c r="M180" s="257">
        <v>40210</v>
      </c>
      <c r="N180" s="261">
        <v>364.02</v>
      </c>
      <c r="O180" s="11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</row>
    <row r="181" spans="1:27" s="1" customFormat="1" ht="12.75">
      <c r="A181" s="257">
        <v>40238</v>
      </c>
      <c r="B181" s="258">
        <v>40428</v>
      </c>
      <c r="C181" s="200">
        <f t="shared" si="0"/>
        <v>366.18</v>
      </c>
      <c r="D181" s="200">
        <v>1609</v>
      </c>
      <c r="E181" s="200">
        <v>1434.1</v>
      </c>
      <c r="F181" s="200">
        <v>1726.1</v>
      </c>
      <c r="G181" s="200">
        <v>968.8</v>
      </c>
      <c r="H181" s="200">
        <v>2754.5</v>
      </c>
      <c r="I181" s="200">
        <v>1925.7</v>
      </c>
      <c r="J181" s="200">
        <v>777.3</v>
      </c>
      <c r="K181" s="200">
        <v>4171</v>
      </c>
      <c r="L181" s="201"/>
      <c r="M181" s="257">
        <v>40238</v>
      </c>
      <c r="N181" s="261">
        <v>366.18</v>
      </c>
      <c r="O181" s="11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</row>
    <row r="182" spans="1:27" ht="12.75">
      <c r="A182" s="257">
        <v>40269</v>
      </c>
      <c r="B182" s="258">
        <v>40526</v>
      </c>
      <c r="C182" s="200">
        <f t="shared" si="0"/>
        <v>369.61</v>
      </c>
      <c r="D182" s="200">
        <v>1593.4</v>
      </c>
      <c r="E182" s="200">
        <v>1432.7</v>
      </c>
      <c r="F182" s="200">
        <v>1724.3</v>
      </c>
      <c r="G182" s="200">
        <v>1048.6</v>
      </c>
      <c r="H182" s="200">
        <v>2862.2</v>
      </c>
      <c r="I182" s="200">
        <v>2036.6</v>
      </c>
      <c r="J182" s="200">
        <v>820.5</v>
      </c>
      <c r="K182" s="200">
        <v>4463.8</v>
      </c>
      <c r="L182" s="201"/>
      <c r="M182" s="257">
        <v>40269</v>
      </c>
      <c r="N182" s="261">
        <v>369.61</v>
      </c>
      <c r="O182" s="10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</row>
    <row r="183" spans="1:27" ht="12.75">
      <c r="A183" s="257">
        <v>40299</v>
      </c>
      <c r="B183" s="258">
        <v>40526</v>
      </c>
      <c r="C183" s="200">
        <f t="shared" si="0"/>
        <v>370.23</v>
      </c>
      <c r="D183" s="200">
        <v>1590.3</v>
      </c>
      <c r="E183" s="200">
        <v>1430.8</v>
      </c>
      <c r="F183" s="200">
        <v>1725.4</v>
      </c>
      <c r="G183" s="200">
        <v>1089.3</v>
      </c>
      <c r="H183" s="200">
        <v>2884.8</v>
      </c>
      <c r="I183" s="200">
        <v>1912.1</v>
      </c>
      <c r="J183" s="200">
        <v>787.9</v>
      </c>
      <c r="K183" s="200">
        <v>4466.7</v>
      </c>
      <c r="L183" s="201"/>
      <c r="M183" s="257">
        <v>40299</v>
      </c>
      <c r="N183" s="261">
        <v>370.23</v>
      </c>
      <c r="O183" s="10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</row>
    <row r="184" spans="1:27" ht="12.75">
      <c r="A184" s="257">
        <v>40330</v>
      </c>
      <c r="B184" s="258">
        <v>40526</v>
      </c>
      <c r="C184" s="200">
        <f t="shared" si="0"/>
        <v>370.86</v>
      </c>
      <c r="D184" s="200">
        <v>1572.3</v>
      </c>
      <c r="E184" s="200">
        <v>1431.2</v>
      </c>
      <c r="F184" s="200">
        <v>1724.7</v>
      </c>
      <c r="G184" s="200">
        <v>1075.6</v>
      </c>
      <c r="H184" s="200">
        <v>2866.2</v>
      </c>
      <c r="I184" s="200">
        <v>1877.4</v>
      </c>
      <c r="J184" s="200">
        <v>778.9</v>
      </c>
      <c r="K184" s="200">
        <v>4477.1</v>
      </c>
      <c r="L184" s="201"/>
      <c r="M184" s="257">
        <v>40330</v>
      </c>
      <c r="N184" s="261">
        <v>370.86</v>
      </c>
      <c r="O184" s="10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</row>
    <row r="185" spans="1:27" ht="12.75">
      <c r="A185" s="257">
        <v>40360</v>
      </c>
      <c r="B185" s="258">
        <v>40659</v>
      </c>
      <c r="C185" s="200">
        <f t="shared" si="0"/>
        <v>369.6</v>
      </c>
      <c r="D185" s="200">
        <v>1571.6</v>
      </c>
      <c r="E185" s="200">
        <v>1433.1</v>
      </c>
      <c r="F185" s="200">
        <v>1724.9</v>
      </c>
      <c r="G185" s="200">
        <v>1051.6</v>
      </c>
      <c r="H185" s="200">
        <v>2864.3</v>
      </c>
      <c r="I185" s="200">
        <v>1850.2</v>
      </c>
      <c r="J185" s="200">
        <v>770.4</v>
      </c>
      <c r="K185" s="200">
        <v>4365.4</v>
      </c>
      <c r="L185" s="201"/>
      <c r="M185" s="257">
        <v>40360</v>
      </c>
      <c r="N185" s="261">
        <v>369.6</v>
      </c>
      <c r="O185" s="10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</row>
    <row r="186" spans="1:27" ht="12.75">
      <c r="A186" s="257">
        <v>40391</v>
      </c>
      <c r="B186" s="258">
        <v>40659</v>
      </c>
      <c r="C186" s="200">
        <f t="shared" si="0"/>
        <v>370.55</v>
      </c>
      <c r="D186" s="200">
        <v>1570</v>
      </c>
      <c r="E186" s="200">
        <v>1430</v>
      </c>
      <c r="F186" s="200">
        <v>1729.9</v>
      </c>
      <c r="G186" s="200">
        <v>1081.4</v>
      </c>
      <c r="H186" s="200">
        <v>2864.2</v>
      </c>
      <c r="I186" s="200">
        <v>1985</v>
      </c>
      <c r="J186" s="200">
        <v>788.7</v>
      </c>
      <c r="K186" s="200">
        <v>4397.1</v>
      </c>
      <c r="L186" s="201"/>
      <c r="M186" s="257">
        <v>40391</v>
      </c>
      <c r="N186" s="261">
        <v>370.55</v>
      </c>
      <c r="O186" s="10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</row>
    <row r="187" spans="1:27" ht="12.75">
      <c r="A187" s="257">
        <v>40422</v>
      </c>
      <c r="B187" s="258">
        <v>40659</v>
      </c>
      <c r="C187" s="200">
        <f t="shared" si="0"/>
        <v>370.86</v>
      </c>
      <c r="D187" s="200">
        <v>1560</v>
      </c>
      <c r="E187" s="200">
        <v>1427.3</v>
      </c>
      <c r="F187" s="200">
        <v>1730.2</v>
      </c>
      <c r="G187" s="200">
        <v>1094.3</v>
      </c>
      <c r="H187" s="200">
        <v>2847.2</v>
      </c>
      <c r="I187" s="200">
        <v>2074.8</v>
      </c>
      <c r="J187" s="200">
        <v>781.2</v>
      </c>
      <c r="K187" s="200">
        <v>4285.3</v>
      </c>
      <c r="L187" s="201"/>
      <c r="M187" s="257">
        <v>40422</v>
      </c>
      <c r="N187" s="261">
        <v>370.86</v>
      </c>
      <c r="O187" s="10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</row>
    <row r="188" spans="1:27" ht="12.75">
      <c r="A188" s="257">
        <v>40452</v>
      </c>
      <c r="B188" s="258">
        <v>40758</v>
      </c>
      <c r="C188" s="200">
        <f t="shared" si="0"/>
        <v>373.7</v>
      </c>
      <c r="D188" s="200">
        <v>1550.3</v>
      </c>
      <c r="E188" s="200">
        <v>1426.8</v>
      </c>
      <c r="F188" s="200">
        <v>1727.6</v>
      </c>
      <c r="G188" s="200">
        <v>1068.4</v>
      </c>
      <c r="H188" s="200">
        <v>2831.3</v>
      </c>
      <c r="I188" s="200">
        <v>2096</v>
      </c>
      <c r="J188" s="200">
        <v>791.7</v>
      </c>
      <c r="K188" s="200">
        <v>4236.3</v>
      </c>
      <c r="L188" s="201"/>
      <c r="M188" s="257">
        <v>40452</v>
      </c>
      <c r="N188" s="261">
        <v>373.7</v>
      </c>
      <c r="O188" s="10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</row>
    <row r="189" spans="1:27" ht="12.75">
      <c r="A189" s="257">
        <v>40483</v>
      </c>
      <c r="B189" s="258">
        <v>40758</v>
      </c>
      <c r="C189" s="200">
        <f t="shared" si="0"/>
        <v>375.29</v>
      </c>
      <c r="D189" s="200">
        <v>1572.1</v>
      </c>
      <c r="E189" s="200">
        <v>1425.7</v>
      </c>
      <c r="F189" s="200">
        <v>1727.1</v>
      </c>
      <c r="G189" s="200">
        <v>1036.9</v>
      </c>
      <c r="H189" s="200">
        <v>2865.4</v>
      </c>
      <c r="I189" s="200">
        <v>2178.6</v>
      </c>
      <c r="J189" s="200">
        <v>807.2</v>
      </c>
      <c r="K189" s="200">
        <v>4366.4</v>
      </c>
      <c r="L189" s="201"/>
      <c r="M189" s="257">
        <v>40483</v>
      </c>
      <c r="N189" s="261">
        <v>375.29</v>
      </c>
      <c r="O189" s="10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</row>
    <row r="190" spans="1:27" ht="12.75">
      <c r="A190" s="259">
        <v>40513</v>
      </c>
      <c r="B190" s="260">
        <v>40758</v>
      </c>
      <c r="C190" s="203">
        <f aca="true" t="shared" si="1" ref="C190:C221">IF($O$1=4,$C$157,N190)</f>
        <v>377.2</v>
      </c>
      <c r="D190" s="203">
        <v>1567.6</v>
      </c>
      <c r="E190" s="203">
        <v>1425.3</v>
      </c>
      <c r="F190" s="203">
        <v>1727.3</v>
      </c>
      <c r="G190" s="203">
        <v>1052.3</v>
      </c>
      <c r="H190" s="203">
        <v>2974.2</v>
      </c>
      <c r="I190" s="203">
        <v>2427.6</v>
      </c>
      <c r="J190" s="203">
        <v>809.9</v>
      </c>
      <c r="K190" s="203">
        <v>4494.9</v>
      </c>
      <c r="L190" s="201"/>
      <c r="M190" s="259">
        <v>40513</v>
      </c>
      <c r="N190" s="203">
        <v>377.2</v>
      </c>
      <c r="O190" s="10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</row>
    <row r="191" spans="1:27" ht="12.75">
      <c r="A191" s="257">
        <v>40544</v>
      </c>
      <c r="B191" s="258">
        <v>40843</v>
      </c>
      <c r="C191" s="200">
        <f t="shared" si="1"/>
        <v>374.96</v>
      </c>
      <c r="D191" s="200">
        <v>1544.7</v>
      </c>
      <c r="E191" s="200">
        <v>1428</v>
      </c>
      <c r="F191" s="200">
        <v>1734.8</v>
      </c>
      <c r="G191" s="200">
        <v>1112.1</v>
      </c>
      <c r="H191" s="200">
        <v>3071.5</v>
      </c>
      <c r="I191" s="200">
        <v>2473.7</v>
      </c>
      <c r="J191" s="200">
        <v>841.4</v>
      </c>
      <c r="K191" s="200">
        <v>4617.3</v>
      </c>
      <c r="L191" s="201"/>
      <c r="M191" s="257">
        <v>40544</v>
      </c>
      <c r="N191" s="261">
        <v>374.96</v>
      </c>
      <c r="O191" s="10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</row>
    <row r="192" spans="1:27" ht="12.75">
      <c r="A192" s="257">
        <v>40575</v>
      </c>
      <c r="B192" s="258">
        <v>40843</v>
      </c>
      <c r="C192" s="200">
        <f t="shared" si="1"/>
        <v>375.27</v>
      </c>
      <c r="D192" s="200">
        <v>1558.1</v>
      </c>
      <c r="E192" s="200">
        <v>1430.6</v>
      </c>
      <c r="F192" s="200">
        <v>1741.8</v>
      </c>
      <c r="G192" s="200">
        <v>1126.5</v>
      </c>
      <c r="H192" s="200">
        <v>3212.6</v>
      </c>
      <c r="I192" s="200">
        <v>2513.3</v>
      </c>
      <c r="J192" s="200">
        <v>832.8</v>
      </c>
      <c r="K192" s="200">
        <v>5110.1</v>
      </c>
      <c r="L192" s="201"/>
      <c r="M192" s="257">
        <v>40575</v>
      </c>
      <c r="N192" s="261">
        <v>375.27</v>
      </c>
      <c r="O192" s="10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</row>
    <row r="193" spans="1:27" ht="12.75">
      <c r="A193" s="257">
        <v>40603</v>
      </c>
      <c r="B193" s="258">
        <v>40843</v>
      </c>
      <c r="C193" s="200">
        <f t="shared" si="1"/>
        <v>377.51</v>
      </c>
      <c r="D193" s="200">
        <v>1551.8</v>
      </c>
      <c r="E193" s="200">
        <v>1430.6</v>
      </c>
      <c r="F193" s="200">
        <v>1742.9</v>
      </c>
      <c r="G193" s="200">
        <v>1132.8</v>
      </c>
      <c r="H193" s="200">
        <v>3341.5</v>
      </c>
      <c r="I193" s="200">
        <v>2437.9</v>
      </c>
      <c r="J193" s="200">
        <v>814.1</v>
      </c>
      <c r="K193" s="200">
        <v>5296.1</v>
      </c>
      <c r="L193" s="201"/>
      <c r="M193" s="257">
        <v>40603</v>
      </c>
      <c r="N193" s="261">
        <v>377.51</v>
      </c>
      <c r="O193" s="10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</row>
    <row r="194" spans="1:27" ht="12.75">
      <c r="A194" s="257">
        <v>40634</v>
      </c>
      <c r="B194" s="258">
        <v>40866</v>
      </c>
      <c r="C194" s="200">
        <f t="shared" si="1"/>
        <v>381.36</v>
      </c>
      <c r="D194" s="200">
        <v>1555.6</v>
      </c>
      <c r="E194" s="200">
        <v>1432.1</v>
      </c>
      <c r="F194" s="200">
        <v>1743.4</v>
      </c>
      <c r="G194" s="200">
        <v>1189.2</v>
      </c>
      <c r="H194" s="200">
        <v>3408.1</v>
      </c>
      <c r="I194" s="200">
        <v>2405.3</v>
      </c>
      <c r="J194" s="200">
        <v>813</v>
      </c>
      <c r="K194" s="200">
        <v>5426.6</v>
      </c>
      <c r="L194" s="201"/>
      <c r="M194" s="257">
        <v>40634</v>
      </c>
      <c r="N194" s="261">
        <v>381.36</v>
      </c>
      <c r="O194" s="10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</row>
    <row r="195" spans="1:27" ht="12.75">
      <c r="A195" s="257">
        <v>40664</v>
      </c>
      <c r="B195" s="258">
        <v>40866</v>
      </c>
      <c r="C195" s="200">
        <f t="shared" si="1"/>
        <v>381.36</v>
      </c>
      <c r="D195" s="200">
        <v>1543.2</v>
      </c>
      <c r="E195" s="200">
        <v>1425.3</v>
      </c>
      <c r="F195" s="200">
        <v>1743.7</v>
      </c>
      <c r="G195" s="200">
        <v>1196</v>
      </c>
      <c r="H195" s="200">
        <v>3290.6</v>
      </c>
      <c r="I195" s="200">
        <v>2345.8</v>
      </c>
      <c r="J195" s="200">
        <v>810.9</v>
      </c>
      <c r="K195" s="200">
        <v>5403.9</v>
      </c>
      <c r="L195" s="201"/>
      <c r="M195" s="257">
        <v>40664</v>
      </c>
      <c r="N195" s="261">
        <v>381.36</v>
      </c>
      <c r="O195" s="10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</row>
    <row r="196" spans="1:27" ht="12.75">
      <c r="A196" s="257">
        <v>40695</v>
      </c>
      <c r="B196" s="258">
        <v>40866</v>
      </c>
      <c r="C196" s="200">
        <f t="shared" si="1"/>
        <v>381.03</v>
      </c>
      <c r="D196" s="200">
        <v>1543.6</v>
      </c>
      <c r="E196" s="200">
        <v>1426.7</v>
      </c>
      <c r="F196" s="200">
        <v>1741.2</v>
      </c>
      <c r="G196" s="200">
        <v>1206.7</v>
      </c>
      <c r="H196" s="200">
        <v>3306.4</v>
      </c>
      <c r="I196" s="200">
        <v>2323.4</v>
      </c>
      <c r="J196" s="200">
        <v>806.5</v>
      </c>
      <c r="K196" s="200">
        <v>5421.2</v>
      </c>
      <c r="L196" s="201"/>
      <c r="M196" s="257">
        <v>40695</v>
      </c>
      <c r="N196" s="261">
        <v>381.03</v>
      </c>
      <c r="O196" s="10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</row>
    <row r="197" spans="1:27" ht="12.75">
      <c r="A197" s="257">
        <v>40725</v>
      </c>
      <c r="B197" s="258">
        <v>40955</v>
      </c>
      <c r="C197" s="200">
        <f t="shared" si="1"/>
        <v>379.41</v>
      </c>
      <c r="D197" s="200">
        <v>1565.8</v>
      </c>
      <c r="E197" s="200">
        <v>1425.5</v>
      </c>
      <c r="F197" s="200">
        <v>1741.7</v>
      </c>
      <c r="G197" s="200">
        <v>1216.8</v>
      </c>
      <c r="H197" s="200">
        <v>3347.8</v>
      </c>
      <c r="I197" s="200">
        <v>2449.5</v>
      </c>
      <c r="J197" s="200">
        <v>792.3</v>
      </c>
      <c r="K197" s="200">
        <v>5423.5</v>
      </c>
      <c r="L197" s="201"/>
      <c r="M197" s="257">
        <v>40725</v>
      </c>
      <c r="N197" s="261">
        <v>379.41</v>
      </c>
      <c r="O197" s="10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</row>
    <row r="198" spans="1:27" ht="12.75">
      <c r="A198" s="257">
        <v>40756</v>
      </c>
      <c r="B198" s="258">
        <v>40955</v>
      </c>
      <c r="C198" s="200">
        <f t="shared" si="1"/>
        <v>379.74</v>
      </c>
      <c r="D198" s="200">
        <v>1578.7</v>
      </c>
      <c r="E198" s="200">
        <v>1423.9</v>
      </c>
      <c r="F198" s="200">
        <v>1743</v>
      </c>
      <c r="G198" s="200">
        <v>1218.4</v>
      </c>
      <c r="H198" s="200">
        <v>3295</v>
      </c>
      <c r="I198" s="200">
        <v>2327.5</v>
      </c>
      <c r="J198" s="200">
        <v>786.3</v>
      </c>
      <c r="K198" s="200">
        <v>5251.1</v>
      </c>
      <c r="L198" s="201"/>
      <c r="M198" s="257">
        <v>40756</v>
      </c>
      <c r="N198" s="261">
        <v>379.74</v>
      </c>
      <c r="O198" s="10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</row>
    <row r="199" spans="1:27" ht="12.75">
      <c r="A199" s="257">
        <v>40787</v>
      </c>
      <c r="B199" s="258">
        <v>40955</v>
      </c>
      <c r="C199" s="200">
        <f t="shared" si="1"/>
        <v>380.38</v>
      </c>
      <c r="D199" s="200">
        <v>1585.2</v>
      </c>
      <c r="E199" s="200">
        <v>1422.6</v>
      </c>
      <c r="F199" s="200">
        <v>1745.6</v>
      </c>
      <c r="G199" s="200">
        <v>1210</v>
      </c>
      <c r="H199" s="200">
        <v>3331.4</v>
      </c>
      <c r="I199" s="200">
        <v>2457.2</v>
      </c>
      <c r="J199" s="200">
        <v>790.4</v>
      </c>
      <c r="K199" s="200">
        <v>5477.4</v>
      </c>
      <c r="L199" s="201"/>
      <c r="M199" s="257">
        <v>40787</v>
      </c>
      <c r="N199" s="261">
        <v>380.38</v>
      </c>
      <c r="O199" s="10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</row>
    <row r="200" spans="1:27" ht="12.75">
      <c r="A200" s="257">
        <v>40817</v>
      </c>
      <c r="B200" s="258">
        <v>41052</v>
      </c>
      <c r="C200" s="200">
        <f t="shared" si="1"/>
        <v>382.97</v>
      </c>
      <c r="D200" s="200">
        <v>1585.2</v>
      </c>
      <c r="E200" s="200">
        <v>1423.9</v>
      </c>
      <c r="F200" s="200">
        <v>1745.5</v>
      </c>
      <c r="G200" s="200">
        <v>1205.3</v>
      </c>
      <c r="H200" s="200">
        <v>3342.3</v>
      </c>
      <c r="I200" s="200">
        <v>2145.3</v>
      </c>
      <c r="J200" s="200">
        <v>803.6</v>
      </c>
      <c r="K200" s="200">
        <v>5599.1</v>
      </c>
      <c r="L200" s="201"/>
      <c r="M200" s="257">
        <v>40817</v>
      </c>
      <c r="N200" s="261">
        <v>382.97</v>
      </c>
      <c r="O200" s="10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</row>
    <row r="201" spans="1:27" ht="12.75">
      <c r="A201" s="257">
        <v>40848</v>
      </c>
      <c r="B201" s="258">
        <v>41052</v>
      </c>
      <c r="C201" s="200">
        <f t="shared" si="1"/>
        <v>384.27</v>
      </c>
      <c r="D201" s="200">
        <v>1584.8</v>
      </c>
      <c r="E201" s="200">
        <v>1422.5</v>
      </c>
      <c r="F201" s="200">
        <v>1743.9</v>
      </c>
      <c r="G201" s="200">
        <v>1187.1</v>
      </c>
      <c r="H201" s="200">
        <v>3423.7</v>
      </c>
      <c r="I201" s="200">
        <v>2186.8</v>
      </c>
      <c r="J201" s="200">
        <v>795.7</v>
      </c>
      <c r="K201" s="200">
        <v>5685.6</v>
      </c>
      <c r="L201" s="201"/>
      <c r="M201" s="257">
        <v>40848</v>
      </c>
      <c r="N201" s="261">
        <v>384.27</v>
      </c>
      <c r="O201" s="10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</row>
    <row r="202" spans="1:27" ht="12.75">
      <c r="A202" s="259">
        <v>40878</v>
      </c>
      <c r="B202" s="260">
        <v>41052</v>
      </c>
      <c r="C202" s="203">
        <f t="shared" si="1"/>
        <v>384.6</v>
      </c>
      <c r="D202" s="203">
        <v>1605.9</v>
      </c>
      <c r="E202" s="203">
        <v>1422.5</v>
      </c>
      <c r="F202" s="203">
        <v>1744.2</v>
      </c>
      <c r="G202" s="203">
        <v>1176.5</v>
      </c>
      <c r="H202" s="203">
        <v>3410.2</v>
      </c>
      <c r="I202" s="203">
        <v>2198.8</v>
      </c>
      <c r="J202" s="203">
        <v>783.7</v>
      </c>
      <c r="K202" s="203">
        <v>5581.2</v>
      </c>
      <c r="L202" s="201"/>
      <c r="M202" s="259">
        <v>40878</v>
      </c>
      <c r="N202" s="203">
        <v>384.6</v>
      </c>
      <c r="O202" s="10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</row>
    <row r="203" spans="1:27" ht="12.75">
      <c r="A203" s="257">
        <v>40909</v>
      </c>
      <c r="B203" s="258">
        <v>41212</v>
      </c>
      <c r="C203" s="200">
        <f t="shared" si="1"/>
        <v>381</v>
      </c>
      <c r="D203" s="200">
        <v>1607.4</v>
      </c>
      <c r="E203" s="200">
        <v>1423.8</v>
      </c>
      <c r="F203" s="200">
        <v>1745.9</v>
      </c>
      <c r="G203" s="200">
        <v>1167</v>
      </c>
      <c r="H203" s="200">
        <v>3667.9</v>
      </c>
      <c r="I203" s="200">
        <v>2328.7</v>
      </c>
      <c r="J203" s="200">
        <v>801.6</v>
      </c>
      <c r="K203" s="200">
        <v>6000.2</v>
      </c>
      <c r="L203" s="201"/>
      <c r="M203" s="257">
        <v>40909</v>
      </c>
      <c r="N203" s="261">
        <v>381</v>
      </c>
      <c r="O203" s="10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</row>
    <row r="204" spans="1:27" ht="12.75">
      <c r="A204" s="257">
        <v>40940</v>
      </c>
      <c r="B204" s="258">
        <v>41212</v>
      </c>
      <c r="C204" s="200">
        <f t="shared" si="1"/>
        <v>381.33</v>
      </c>
      <c r="D204" s="200">
        <v>1611.9</v>
      </c>
      <c r="E204" s="200">
        <v>1426</v>
      </c>
      <c r="F204" s="200">
        <v>1746.3</v>
      </c>
      <c r="G204" s="200">
        <v>1166.1</v>
      </c>
      <c r="H204" s="200">
        <v>3723.4</v>
      </c>
      <c r="I204" s="200">
        <v>2345.3</v>
      </c>
      <c r="J204" s="200">
        <v>806.8</v>
      </c>
      <c r="K204" s="200">
        <v>6190.8</v>
      </c>
      <c r="L204" s="201"/>
      <c r="M204" s="257">
        <v>40940</v>
      </c>
      <c r="N204" s="261">
        <v>381.33</v>
      </c>
      <c r="O204" s="10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</row>
    <row r="205" spans="1:27" ht="12.75">
      <c r="A205" s="257">
        <v>40969</v>
      </c>
      <c r="B205" s="258">
        <v>41212</v>
      </c>
      <c r="C205" s="200">
        <f t="shared" si="1"/>
        <v>383.59</v>
      </c>
      <c r="D205" s="200">
        <v>1603.6</v>
      </c>
      <c r="E205" s="200">
        <v>1426.2</v>
      </c>
      <c r="F205" s="200">
        <v>1748</v>
      </c>
      <c r="G205" s="200">
        <v>1165.2</v>
      </c>
      <c r="H205" s="200">
        <v>3831.6</v>
      </c>
      <c r="I205" s="200">
        <v>2390.6</v>
      </c>
      <c r="J205" s="200">
        <v>814.1</v>
      </c>
      <c r="K205" s="200">
        <v>6427.9</v>
      </c>
      <c r="L205" s="201"/>
      <c r="M205" s="257">
        <v>40969</v>
      </c>
      <c r="N205" s="261">
        <v>383.59</v>
      </c>
      <c r="O205" s="10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</row>
    <row r="206" spans="1:27" ht="12.75">
      <c r="A206" s="257">
        <v>41000</v>
      </c>
      <c r="B206" s="258">
        <v>41317</v>
      </c>
      <c r="C206" s="200">
        <f t="shared" si="1"/>
        <v>388.16</v>
      </c>
      <c r="D206" s="200">
        <v>1603.6</v>
      </c>
      <c r="E206" s="200">
        <v>1425.9</v>
      </c>
      <c r="F206" s="200">
        <v>1747.5</v>
      </c>
      <c r="G206" s="200">
        <v>1170.3</v>
      </c>
      <c r="H206" s="200">
        <v>3705.7</v>
      </c>
      <c r="I206" s="200">
        <v>2270.8</v>
      </c>
      <c r="J206" s="200">
        <v>792.2</v>
      </c>
      <c r="K206" s="200">
        <v>6307.4</v>
      </c>
      <c r="L206" s="201"/>
      <c r="M206" s="257">
        <v>41000</v>
      </c>
      <c r="N206" s="261">
        <v>388.16</v>
      </c>
      <c r="O206" s="10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</row>
    <row r="207" spans="1:27" ht="12.75">
      <c r="A207" s="257">
        <v>41030</v>
      </c>
      <c r="B207" s="258">
        <v>41317</v>
      </c>
      <c r="C207" s="200">
        <f t="shared" si="1"/>
        <v>387.83</v>
      </c>
      <c r="D207" s="200">
        <v>1607.6</v>
      </c>
      <c r="E207" s="200">
        <v>1422.1</v>
      </c>
      <c r="F207" s="200">
        <v>1744.2</v>
      </c>
      <c r="G207" s="200">
        <v>1164.9</v>
      </c>
      <c r="H207" s="200">
        <v>3600.5</v>
      </c>
      <c r="I207" s="200">
        <v>2307.9</v>
      </c>
      <c r="J207" s="200">
        <v>770.5</v>
      </c>
      <c r="K207" s="200">
        <v>6104.7</v>
      </c>
      <c r="L207" s="201"/>
      <c r="M207" s="257">
        <v>41030</v>
      </c>
      <c r="N207" s="261">
        <v>387.83</v>
      </c>
      <c r="O207" s="10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</row>
    <row r="208" spans="1:27" ht="12.75">
      <c r="A208" s="257">
        <v>41061</v>
      </c>
      <c r="B208" s="258">
        <v>41317</v>
      </c>
      <c r="C208" s="200">
        <f t="shared" si="1"/>
        <v>387.17</v>
      </c>
      <c r="D208" s="200">
        <v>1620.7</v>
      </c>
      <c r="E208" s="200">
        <v>1426</v>
      </c>
      <c r="F208" s="200">
        <v>1749.2</v>
      </c>
      <c r="G208" s="200">
        <v>1158.2</v>
      </c>
      <c r="H208" s="200">
        <v>3435.5</v>
      </c>
      <c r="I208" s="200">
        <v>2248.8</v>
      </c>
      <c r="J208" s="200">
        <v>755.8</v>
      </c>
      <c r="K208" s="200">
        <v>6080.3</v>
      </c>
      <c r="L208" s="201"/>
      <c r="M208" s="257">
        <v>41061</v>
      </c>
      <c r="N208" s="261">
        <v>387.17</v>
      </c>
      <c r="O208" s="10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</row>
    <row r="209" spans="1:27" ht="12.75">
      <c r="A209" s="257">
        <v>41091</v>
      </c>
      <c r="B209" s="258">
        <v>41569</v>
      </c>
      <c r="C209" s="200">
        <f t="shared" si="1"/>
        <v>386.51</v>
      </c>
      <c r="D209" s="200">
        <v>1634.8</v>
      </c>
      <c r="E209" s="200">
        <v>1427.2</v>
      </c>
      <c r="F209" s="200">
        <v>1749.2</v>
      </c>
      <c r="G209" s="200">
        <v>1154.9</v>
      </c>
      <c r="H209" s="200">
        <v>3507.6</v>
      </c>
      <c r="I209" s="200">
        <v>2312.1</v>
      </c>
      <c r="J209" s="200">
        <v>755.2</v>
      </c>
      <c r="K209" s="200">
        <v>5708.5</v>
      </c>
      <c r="L209" s="201"/>
      <c r="M209" s="257">
        <v>41091</v>
      </c>
      <c r="N209" s="261">
        <v>386.51</v>
      </c>
      <c r="O209" s="10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</row>
    <row r="210" spans="1:27" ht="12.75">
      <c r="A210" s="257">
        <v>41122</v>
      </c>
      <c r="B210" s="258">
        <v>41569</v>
      </c>
      <c r="C210" s="200">
        <f t="shared" si="1"/>
        <v>388.48</v>
      </c>
      <c r="D210" s="200">
        <v>1636.4</v>
      </c>
      <c r="E210" s="200">
        <v>1426.1</v>
      </c>
      <c r="F210" s="200">
        <v>1749.4</v>
      </c>
      <c r="G210" s="200">
        <v>1133.8</v>
      </c>
      <c r="H210" s="200">
        <v>3682.4</v>
      </c>
      <c r="I210" s="200">
        <v>2269.6</v>
      </c>
      <c r="J210" s="200">
        <v>742.1</v>
      </c>
      <c r="K210" s="200">
        <v>5991</v>
      </c>
      <c r="L210" s="201"/>
      <c r="M210" s="257">
        <v>41122</v>
      </c>
      <c r="N210" s="261">
        <v>388.48</v>
      </c>
      <c r="O210" s="10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</row>
    <row r="211" spans="1:27" ht="12.75">
      <c r="A211" s="257">
        <v>41153</v>
      </c>
      <c r="B211" s="258">
        <v>41569</v>
      </c>
      <c r="C211" s="200">
        <f t="shared" si="1"/>
        <v>391.78</v>
      </c>
      <c r="D211" s="200">
        <v>1638.9</v>
      </c>
      <c r="E211" s="200">
        <v>1425.5</v>
      </c>
      <c r="F211" s="200">
        <v>1749.4</v>
      </c>
      <c r="G211" s="200">
        <v>1126.3</v>
      </c>
      <c r="H211" s="200">
        <v>3727.7</v>
      </c>
      <c r="I211" s="200">
        <v>2300.7</v>
      </c>
      <c r="J211" s="200">
        <v>774.8</v>
      </c>
      <c r="K211" s="200">
        <v>6067.6</v>
      </c>
      <c r="L211" s="201"/>
      <c r="M211" s="257">
        <v>41153</v>
      </c>
      <c r="N211" s="261">
        <v>391.78</v>
      </c>
      <c r="O211" s="10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</row>
    <row r="212" spans="1:27" ht="12.75">
      <c r="A212" s="257">
        <v>41183</v>
      </c>
      <c r="B212" s="258">
        <v>41911</v>
      </c>
      <c r="C212" s="200">
        <f t="shared" si="1"/>
        <v>394.45</v>
      </c>
      <c r="D212" s="200">
        <v>1652.2</v>
      </c>
      <c r="E212" s="200">
        <v>1423.7</v>
      </c>
      <c r="F212" s="200">
        <v>1748.5</v>
      </c>
      <c r="G212" s="200">
        <v>1116.8</v>
      </c>
      <c r="H212" s="200">
        <v>3620.3</v>
      </c>
      <c r="I212" s="200">
        <v>2340.9</v>
      </c>
      <c r="J212" s="200">
        <v>749.1</v>
      </c>
      <c r="K212" s="200">
        <v>6000.5</v>
      </c>
      <c r="L212" s="201"/>
      <c r="M212" s="257">
        <v>41183</v>
      </c>
      <c r="N212" s="261">
        <v>394.45</v>
      </c>
      <c r="O212" s="10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</row>
    <row r="213" spans="1:27" ht="12.75">
      <c r="A213" s="257">
        <v>41214</v>
      </c>
      <c r="B213" s="258">
        <v>41911</v>
      </c>
      <c r="C213" s="200">
        <f t="shared" si="1"/>
        <v>394.11</v>
      </c>
      <c r="D213" s="200">
        <v>1642.4</v>
      </c>
      <c r="E213" s="200">
        <v>1424.3</v>
      </c>
      <c r="F213" s="200">
        <v>1749</v>
      </c>
      <c r="G213" s="200">
        <v>1105</v>
      </c>
      <c r="H213" s="200">
        <v>3510.6</v>
      </c>
      <c r="I213" s="200">
        <v>2339.6</v>
      </c>
      <c r="J213" s="200">
        <v>750.9</v>
      </c>
      <c r="K213" s="200">
        <v>5711.5</v>
      </c>
      <c r="L213" s="201"/>
      <c r="M213" s="257">
        <v>41214</v>
      </c>
      <c r="N213" s="261">
        <v>394.11</v>
      </c>
      <c r="O213" s="10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</row>
    <row r="214" spans="1:27" ht="12.75">
      <c r="A214" s="259">
        <v>41244</v>
      </c>
      <c r="B214" s="260">
        <v>41911</v>
      </c>
      <c r="C214" s="203">
        <f t="shared" si="1"/>
        <v>394.45</v>
      </c>
      <c r="D214" s="203">
        <v>1630.7</v>
      </c>
      <c r="E214" s="203">
        <v>1423</v>
      </c>
      <c r="F214" s="203">
        <v>1751.2</v>
      </c>
      <c r="G214" s="203">
        <v>1107</v>
      </c>
      <c r="H214" s="203">
        <v>3450.2</v>
      </c>
      <c r="I214" s="203">
        <v>2377.6</v>
      </c>
      <c r="J214" s="203">
        <v>726.9</v>
      </c>
      <c r="K214" s="203">
        <v>5465.8</v>
      </c>
      <c r="L214" s="201"/>
      <c r="M214" s="259">
        <v>41244</v>
      </c>
      <c r="N214" s="203">
        <v>394.45</v>
      </c>
      <c r="O214" s="10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</row>
    <row r="215" spans="1:27" ht="12.75">
      <c r="A215" s="257">
        <v>41275</v>
      </c>
      <c r="B215" s="258">
        <v>42104</v>
      </c>
      <c r="C215" s="200">
        <f t="shared" si="1"/>
        <v>390.17</v>
      </c>
      <c r="D215" s="200">
        <v>1613</v>
      </c>
      <c r="E215" s="200">
        <v>1421.5</v>
      </c>
      <c r="F215" s="200">
        <v>1754.5</v>
      </c>
      <c r="G215" s="200">
        <v>1118.5</v>
      </c>
      <c r="H215" s="200">
        <v>3507.3</v>
      </c>
      <c r="I215" s="200">
        <v>2407.2</v>
      </c>
      <c r="J215" s="200">
        <v>736.9</v>
      </c>
      <c r="K215" s="200">
        <v>5273.9</v>
      </c>
      <c r="L215" s="201"/>
      <c r="M215" s="257">
        <v>41275</v>
      </c>
      <c r="N215" s="261">
        <v>390.17</v>
      </c>
      <c r="O215" s="10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</row>
    <row r="216" spans="1:27" ht="12.75">
      <c r="A216" s="257">
        <v>41306</v>
      </c>
      <c r="B216" s="258">
        <v>42104</v>
      </c>
      <c r="C216" s="200">
        <f t="shared" si="1"/>
        <v>390.74</v>
      </c>
      <c r="D216" s="200">
        <v>1649.9</v>
      </c>
      <c r="E216" s="200">
        <v>1423.3</v>
      </c>
      <c r="F216" s="200">
        <v>1756.4</v>
      </c>
      <c r="G216" s="200">
        <v>1114.3</v>
      </c>
      <c r="H216" s="200">
        <v>3570.7</v>
      </c>
      <c r="I216" s="200">
        <v>2394.2</v>
      </c>
      <c r="J216" s="200">
        <v>730.7</v>
      </c>
      <c r="K216" s="200">
        <v>5456.5</v>
      </c>
      <c r="L216" s="201"/>
      <c r="M216" s="257">
        <v>41306</v>
      </c>
      <c r="N216" s="261">
        <v>390.74</v>
      </c>
      <c r="O216" s="10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</row>
    <row r="217" spans="1:27" ht="12.75">
      <c r="A217" s="257">
        <v>41334</v>
      </c>
      <c r="B217" s="258">
        <v>42104</v>
      </c>
      <c r="C217" s="200">
        <f t="shared" si="1"/>
        <v>391.91</v>
      </c>
      <c r="D217" s="200">
        <v>1671.2</v>
      </c>
      <c r="E217" s="200">
        <v>1419.1</v>
      </c>
      <c r="F217" s="200">
        <v>1756.9</v>
      </c>
      <c r="G217" s="200">
        <v>1098.8</v>
      </c>
      <c r="H217" s="200">
        <v>3532.6</v>
      </c>
      <c r="I217" s="200">
        <v>2369.1</v>
      </c>
      <c r="J217" s="200">
        <v>731.1</v>
      </c>
      <c r="K217" s="200">
        <v>5695.9</v>
      </c>
      <c r="L217" s="201"/>
      <c r="M217" s="257">
        <v>41334</v>
      </c>
      <c r="N217" s="261">
        <v>391.91</v>
      </c>
      <c r="O217" s="10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</row>
    <row r="218" spans="1:27" ht="12.75">
      <c r="A218" s="257">
        <v>41365</v>
      </c>
      <c r="B218" s="258">
        <v>42104</v>
      </c>
      <c r="C218" s="200">
        <f t="shared" si="1"/>
        <v>393.15</v>
      </c>
      <c r="D218" s="200">
        <v>1663.1</v>
      </c>
      <c r="E218" s="200">
        <v>1415.8</v>
      </c>
      <c r="F218" s="200">
        <v>1759.3</v>
      </c>
      <c r="G218" s="200">
        <v>1087.4</v>
      </c>
      <c r="H218" s="200">
        <v>3452.2</v>
      </c>
      <c r="I218" s="200">
        <v>2269.8</v>
      </c>
      <c r="J218" s="200">
        <v>721.1</v>
      </c>
      <c r="K218" s="200">
        <v>5577.1</v>
      </c>
      <c r="L218" s="201"/>
      <c r="M218" s="257">
        <v>41365</v>
      </c>
      <c r="N218" s="261">
        <v>393.15</v>
      </c>
      <c r="O218" s="10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</row>
    <row r="219" spans="1:27" ht="12.75">
      <c r="A219" s="257">
        <v>41395</v>
      </c>
      <c r="B219" s="258">
        <v>42104</v>
      </c>
      <c r="C219" s="200">
        <f t="shared" si="1"/>
        <v>393.77</v>
      </c>
      <c r="D219" s="200">
        <v>1673.1</v>
      </c>
      <c r="E219" s="200">
        <v>1418.2</v>
      </c>
      <c r="F219" s="200">
        <v>1759.6</v>
      </c>
      <c r="G219" s="200">
        <v>1098.7</v>
      </c>
      <c r="H219" s="200">
        <v>3434.1</v>
      </c>
      <c r="I219" s="200">
        <v>2230.1</v>
      </c>
      <c r="J219" s="200">
        <v>718.5</v>
      </c>
      <c r="K219" s="200">
        <v>5383.6</v>
      </c>
      <c r="L219" s="201"/>
      <c r="M219" s="257">
        <v>41395</v>
      </c>
      <c r="N219" s="261">
        <v>393.77</v>
      </c>
      <c r="O219" s="10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</row>
    <row r="220" spans="1:27" ht="12.75">
      <c r="A220" s="257">
        <v>41426</v>
      </c>
      <c r="B220" s="258">
        <v>42104</v>
      </c>
      <c r="C220" s="200">
        <f t="shared" si="1"/>
        <v>394.26</v>
      </c>
      <c r="D220" s="200">
        <v>1682.5</v>
      </c>
      <c r="E220" s="200">
        <v>1419.6</v>
      </c>
      <c r="F220" s="200">
        <v>1760.9</v>
      </c>
      <c r="G220" s="200">
        <v>1070.6</v>
      </c>
      <c r="H220" s="200">
        <v>3437.3</v>
      </c>
      <c r="I220" s="200">
        <v>2119.8</v>
      </c>
      <c r="J220" s="200">
        <v>705.8</v>
      </c>
      <c r="K220" s="200">
        <v>5361.8</v>
      </c>
      <c r="L220" s="201"/>
      <c r="M220" s="257">
        <v>41426</v>
      </c>
      <c r="N220" s="261">
        <v>394.26</v>
      </c>
      <c r="O220" s="10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</row>
    <row r="221" spans="1:27" ht="12.75">
      <c r="A221" s="257">
        <v>41456</v>
      </c>
      <c r="B221" s="258">
        <v>42104</v>
      </c>
      <c r="C221" s="200">
        <f t="shared" si="1"/>
        <v>392.53</v>
      </c>
      <c r="D221" s="200">
        <v>1678.4</v>
      </c>
      <c r="E221" s="200">
        <v>1420.8</v>
      </c>
      <c r="F221" s="200">
        <v>1760.1</v>
      </c>
      <c r="G221" s="200">
        <v>1059.4</v>
      </c>
      <c r="H221" s="200">
        <v>3478.8</v>
      </c>
      <c r="I221" s="200">
        <v>2112.1</v>
      </c>
      <c r="J221" s="200">
        <v>701.6</v>
      </c>
      <c r="K221" s="200">
        <v>5399.5</v>
      </c>
      <c r="L221" s="201"/>
      <c r="M221" s="257">
        <v>41456</v>
      </c>
      <c r="N221" s="261">
        <v>392.53</v>
      </c>
      <c r="O221" s="10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</row>
    <row r="222" spans="1:27" ht="12.75">
      <c r="A222" s="480">
        <v>41487</v>
      </c>
      <c r="B222" s="481">
        <v>42303</v>
      </c>
      <c r="C222" s="477">
        <f aca="true" t="shared" si="2" ref="C222:C229">IF($O$1=4,$C$157,N222)</f>
        <v>393.57</v>
      </c>
      <c r="D222" s="477">
        <v>1680.6</v>
      </c>
      <c r="E222" s="477">
        <v>1425</v>
      </c>
      <c r="F222" s="477">
        <v>1762.3</v>
      </c>
      <c r="G222" s="477">
        <v>1060.4</v>
      </c>
      <c r="H222" s="477">
        <v>3477.5</v>
      </c>
      <c r="I222" s="477">
        <v>2139.2</v>
      </c>
      <c r="J222" s="477">
        <v>698.1</v>
      </c>
      <c r="K222" s="477">
        <v>5533.4</v>
      </c>
      <c r="L222" s="484"/>
      <c r="M222" s="480">
        <v>41487</v>
      </c>
      <c r="N222" s="478">
        <v>393.57</v>
      </c>
      <c r="O222" s="10"/>
      <c r="P222" s="641" t="s">
        <v>351</v>
      </c>
      <c r="Q222" s="641"/>
      <c r="R222" s="641"/>
      <c r="S222" s="641"/>
      <c r="T222" s="641"/>
      <c r="U222" s="159"/>
      <c r="V222" s="159"/>
      <c r="W222" s="159"/>
      <c r="X222" s="159"/>
      <c r="Y222" s="159"/>
      <c r="Z222" s="159"/>
      <c r="AA222" s="159"/>
    </row>
    <row r="223" spans="1:27" ht="12.75">
      <c r="A223" s="480">
        <v>41518</v>
      </c>
      <c r="B223" s="481">
        <v>42303</v>
      </c>
      <c r="C223" s="477">
        <f t="shared" si="2"/>
        <v>392.95</v>
      </c>
      <c r="D223" s="477">
        <v>1674.4</v>
      </c>
      <c r="E223" s="477">
        <v>1427.4</v>
      </c>
      <c r="F223" s="477">
        <v>1761.8</v>
      </c>
      <c r="G223" s="477">
        <v>1059.5</v>
      </c>
      <c r="H223" s="477">
        <v>3507.5</v>
      </c>
      <c r="I223" s="477">
        <v>2125.8</v>
      </c>
      <c r="J223" s="477">
        <v>697.1</v>
      </c>
      <c r="K223" s="477">
        <v>5425.5</v>
      </c>
      <c r="L223" s="484"/>
      <c r="M223" s="480">
        <v>41518</v>
      </c>
      <c r="N223" s="478">
        <v>392.95</v>
      </c>
      <c r="O223" s="10"/>
      <c r="P223" s="641"/>
      <c r="Q223" s="641"/>
      <c r="R223" s="641"/>
      <c r="S223" s="641"/>
      <c r="T223" s="641"/>
      <c r="U223" s="159"/>
      <c r="V223" s="159"/>
      <c r="W223" s="159"/>
      <c r="X223" s="159"/>
      <c r="Y223" s="159"/>
      <c r="Z223" s="159"/>
      <c r="AA223" s="159"/>
    </row>
    <row r="224" spans="1:27" ht="12.75">
      <c r="A224" s="480">
        <v>41548</v>
      </c>
      <c r="B224" s="481">
        <v>42303</v>
      </c>
      <c r="C224" s="477">
        <f t="shared" si="2"/>
        <v>394.3</v>
      </c>
      <c r="D224" s="477">
        <v>1667.6</v>
      </c>
      <c r="E224" s="477">
        <v>1435.2</v>
      </c>
      <c r="F224" s="477">
        <v>1762.4</v>
      </c>
      <c r="G224" s="477">
        <v>1069.8</v>
      </c>
      <c r="H224" s="477">
        <v>3483.7</v>
      </c>
      <c r="I224" s="477">
        <v>2101.4</v>
      </c>
      <c r="J224" s="477">
        <v>691.8</v>
      </c>
      <c r="K224" s="477">
        <v>5412.1</v>
      </c>
      <c r="L224" s="484"/>
      <c r="M224" s="480">
        <v>41548</v>
      </c>
      <c r="N224" s="478">
        <v>394.3</v>
      </c>
      <c r="O224" s="10"/>
      <c r="P224" s="641"/>
      <c r="Q224" s="641"/>
      <c r="R224" s="641"/>
      <c r="S224" s="641"/>
      <c r="T224" s="641"/>
      <c r="U224" s="159"/>
      <c r="V224" s="159"/>
      <c r="W224" s="159"/>
      <c r="X224" s="159"/>
      <c r="Y224" s="159"/>
      <c r="Z224" s="159"/>
      <c r="AA224" s="159"/>
    </row>
    <row r="225" spans="1:27" ht="12.75">
      <c r="A225" s="480">
        <v>41579</v>
      </c>
      <c r="B225" s="481">
        <v>42303</v>
      </c>
      <c r="C225" s="477">
        <f t="shared" si="2"/>
        <v>395</v>
      </c>
      <c r="D225" s="477">
        <v>1666.7</v>
      </c>
      <c r="E225" s="477">
        <v>1431.2</v>
      </c>
      <c r="F225" s="477">
        <v>1764.3</v>
      </c>
      <c r="G225" s="477">
        <v>1064.9</v>
      </c>
      <c r="H225" s="477">
        <v>3464.9</v>
      </c>
      <c r="I225" s="477">
        <v>2073.8</v>
      </c>
      <c r="J225" s="477">
        <v>685.9</v>
      </c>
      <c r="K225" s="477">
        <v>5309.9</v>
      </c>
      <c r="L225" s="484"/>
      <c r="M225" s="480">
        <v>41579</v>
      </c>
      <c r="N225" s="478">
        <v>395</v>
      </c>
      <c r="O225" s="10"/>
      <c r="P225" s="641"/>
      <c r="Q225" s="641"/>
      <c r="R225" s="641"/>
      <c r="S225" s="641"/>
      <c r="T225" s="641"/>
      <c r="U225" s="159"/>
      <c r="V225" s="159"/>
      <c r="W225" s="159"/>
      <c r="X225" s="159"/>
      <c r="Y225" s="159"/>
      <c r="Z225" s="159"/>
      <c r="AA225" s="159"/>
    </row>
    <row r="226" spans="1:27" ht="12.75">
      <c r="A226" s="482">
        <v>41609</v>
      </c>
      <c r="B226" s="483">
        <v>42303</v>
      </c>
      <c r="C226" s="479">
        <f t="shared" si="2"/>
        <v>395.3</v>
      </c>
      <c r="D226" s="479">
        <v>1653</v>
      </c>
      <c r="E226" s="479">
        <v>1434.6</v>
      </c>
      <c r="F226" s="479">
        <v>1763.5</v>
      </c>
      <c r="G226" s="479">
        <v>1056.6</v>
      </c>
      <c r="H226" s="479">
        <v>3488.3</v>
      </c>
      <c r="I226" s="479">
        <v>2168.8</v>
      </c>
      <c r="J226" s="479">
        <v>678.9</v>
      </c>
      <c r="K226" s="479">
        <v>5274.6</v>
      </c>
      <c r="L226" s="484"/>
      <c r="M226" s="482">
        <v>41609</v>
      </c>
      <c r="N226" s="479">
        <v>395.3</v>
      </c>
      <c r="O226" s="10"/>
      <c r="P226" s="641"/>
      <c r="Q226" s="641"/>
      <c r="R226" s="641"/>
      <c r="S226" s="641"/>
      <c r="T226" s="641"/>
      <c r="U226" s="159"/>
      <c r="V226" s="159"/>
      <c r="W226" s="159"/>
      <c r="X226" s="159"/>
      <c r="Y226" s="159"/>
      <c r="Z226" s="159"/>
      <c r="AA226" s="159"/>
    </row>
    <row r="227" spans="1:27" ht="12.75">
      <c r="A227" s="480">
        <v>41640</v>
      </c>
      <c r="B227" s="481">
        <v>42303</v>
      </c>
      <c r="C227" s="477">
        <f t="shared" si="2"/>
        <v>390.83</v>
      </c>
      <c r="D227" s="477">
        <v>1627.9</v>
      </c>
      <c r="E227" s="477">
        <v>1421.3</v>
      </c>
      <c r="F227" s="477">
        <v>1770</v>
      </c>
      <c r="G227" s="477">
        <v>1058.4</v>
      </c>
      <c r="H227" s="477">
        <v>3348.5</v>
      </c>
      <c r="I227" s="477">
        <v>2127.9</v>
      </c>
      <c r="J227" s="477">
        <v>679.4</v>
      </c>
      <c r="K227" s="477">
        <v>5211.2</v>
      </c>
      <c r="L227" s="484"/>
      <c r="M227" s="480">
        <v>41640</v>
      </c>
      <c r="N227" s="478">
        <v>390.83</v>
      </c>
      <c r="O227" s="10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</row>
    <row r="228" spans="1:27" ht="12.75">
      <c r="A228" s="480">
        <v>41671</v>
      </c>
      <c r="B228" s="481">
        <v>42303</v>
      </c>
      <c r="C228" s="477">
        <f t="shared" si="2"/>
        <v>390.69</v>
      </c>
      <c r="D228" s="477">
        <v>1622.2</v>
      </c>
      <c r="E228" s="477">
        <v>1422.6</v>
      </c>
      <c r="F228" s="477">
        <v>1776.2</v>
      </c>
      <c r="G228" s="477">
        <v>1056.7</v>
      </c>
      <c r="H228" s="477">
        <v>3346.3</v>
      </c>
      <c r="I228" s="477">
        <v>2092.4</v>
      </c>
      <c r="J228" s="477">
        <v>683.2</v>
      </c>
      <c r="K228" s="477">
        <v>5222.4</v>
      </c>
      <c r="L228" s="484"/>
      <c r="M228" s="480">
        <v>41671</v>
      </c>
      <c r="N228" s="478">
        <v>390.69</v>
      </c>
      <c r="O228" s="10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</row>
    <row r="229" spans="1:27" ht="12.75">
      <c r="A229" s="480">
        <v>41699</v>
      </c>
      <c r="B229" s="481">
        <v>42303</v>
      </c>
      <c r="C229" s="477">
        <f t="shared" si="2"/>
        <v>391.43</v>
      </c>
      <c r="D229" s="477">
        <v>1609.4</v>
      </c>
      <c r="E229" s="477">
        <v>1426.2</v>
      </c>
      <c r="F229" s="477">
        <v>1774.9</v>
      </c>
      <c r="G229" s="477">
        <v>1054.6</v>
      </c>
      <c r="H229" s="477">
        <v>3330</v>
      </c>
      <c r="I229" s="477">
        <v>1949.3</v>
      </c>
      <c r="J229" s="477">
        <v>682.1</v>
      </c>
      <c r="K229" s="477">
        <v>5216.7</v>
      </c>
      <c r="L229" s="484"/>
      <c r="M229" s="480">
        <v>41699</v>
      </c>
      <c r="N229" s="478">
        <v>391.43</v>
      </c>
      <c r="O229" s="10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</row>
    <row r="230" spans="1:27" ht="12.75">
      <c r="A230" s="480">
        <v>41730</v>
      </c>
      <c r="B230" s="481">
        <v>42303</v>
      </c>
      <c r="C230" s="477">
        <f>IF($O$1=4,$C$157,N230)</f>
        <v>394.39</v>
      </c>
      <c r="D230" s="477">
        <v>1611.2</v>
      </c>
      <c r="E230" s="477">
        <v>1433.7</v>
      </c>
      <c r="F230" s="477">
        <v>1778.2</v>
      </c>
      <c r="G230" s="477">
        <v>1052.5</v>
      </c>
      <c r="H230" s="477">
        <v>3293.7</v>
      </c>
      <c r="I230" s="477">
        <v>1947.2</v>
      </c>
      <c r="J230" s="477">
        <v>683.7</v>
      </c>
      <c r="K230" s="477">
        <v>5214.9</v>
      </c>
      <c r="L230" s="484"/>
      <c r="M230" s="480">
        <v>41730</v>
      </c>
      <c r="N230" s="478">
        <v>394.39</v>
      </c>
      <c r="O230" s="10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</row>
    <row r="231" spans="1:27" ht="12.75">
      <c r="A231" s="480">
        <v>41760</v>
      </c>
      <c r="B231" s="481">
        <v>42303</v>
      </c>
      <c r="C231" s="477">
        <f>IF($O$1=4,$C$157,N231)</f>
        <v>394.47</v>
      </c>
      <c r="D231" s="477">
        <v>1607.9</v>
      </c>
      <c r="E231" s="477">
        <v>1441</v>
      </c>
      <c r="F231" s="477">
        <v>1785</v>
      </c>
      <c r="G231" s="477">
        <v>1048.6</v>
      </c>
      <c r="H231" s="477">
        <v>3393.3</v>
      </c>
      <c r="I231" s="477">
        <v>2021.3</v>
      </c>
      <c r="J231" s="477">
        <v>695.3</v>
      </c>
      <c r="K231" s="477">
        <v>5216.1</v>
      </c>
      <c r="L231" s="484"/>
      <c r="M231" s="480">
        <v>41760</v>
      </c>
      <c r="N231" s="478">
        <v>394.47</v>
      </c>
      <c r="O231" s="10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</row>
    <row r="232" spans="1:27" ht="12.75">
      <c r="A232" s="480">
        <v>41791</v>
      </c>
      <c r="B232" s="481">
        <v>42303</v>
      </c>
      <c r="C232" s="477">
        <f aca="true" t="shared" si="3" ref="C232:C239">IF($O$1=4,$C$157,N232)</f>
        <v>394.56</v>
      </c>
      <c r="D232" s="477">
        <v>1606.9</v>
      </c>
      <c r="E232" s="477">
        <v>1449.2</v>
      </c>
      <c r="F232" s="477">
        <v>1783.6</v>
      </c>
      <c r="G232" s="477">
        <v>1043.1</v>
      </c>
      <c r="H232" s="477">
        <v>3465</v>
      </c>
      <c r="I232" s="477">
        <v>2014.7</v>
      </c>
      <c r="J232" s="477">
        <v>699.1</v>
      </c>
      <c r="K232" s="477">
        <v>5270.4</v>
      </c>
      <c r="L232" s="484"/>
      <c r="M232" s="480">
        <v>41791</v>
      </c>
      <c r="N232" s="478">
        <v>394.56</v>
      </c>
      <c r="O232" s="10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</row>
    <row r="233" spans="1:27" ht="12.75">
      <c r="A233" s="480">
        <v>41821</v>
      </c>
      <c r="B233" s="481">
        <v>42303</v>
      </c>
      <c r="C233" s="477">
        <f t="shared" si="3"/>
        <v>391.41</v>
      </c>
      <c r="D233" s="477">
        <v>1605.6</v>
      </c>
      <c r="E233" s="477">
        <v>1448.7</v>
      </c>
      <c r="F233" s="477">
        <v>1784.8</v>
      </c>
      <c r="G233" s="477">
        <v>1044.5</v>
      </c>
      <c r="H233" s="477">
        <v>3444.9</v>
      </c>
      <c r="I233" s="485">
        <v>2086.5</v>
      </c>
      <c r="J233" s="477">
        <v>720.5</v>
      </c>
      <c r="K233" s="477">
        <v>5270.3</v>
      </c>
      <c r="L233" s="484"/>
      <c r="M233" s="480">
        <v>41821</v>
      </c>
      <c r="N233" s="478">
        <v>391.41</v>
      </c>
      <c r="O233" s="10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</row>
    <row r="234" spans="1:27" ht="12.75">
      <c r="A234" s="480">
        <v>41852</v>
      </c>
      <c r="B234" s="481">
        <v>42303</v>
      </c>
      <c r="C234" s="477">
        <f t="shared" si="3"/>
        <v>391.93</v>
      </c>
      <c r="D234" s="477">
        <v>1615.7</v>
      </c>
      <c r="E234" s="477">
        <v>1452.4</v>
      </c>
      <c r="F234" s="477">
        <v>1785.1</v>
      </c>
      <c r="G234" s="477">
        <v>1037</v>
      </c>
      <c r="H234" s="477">
        <v>3445.1</v>
      </c>
      <c r="I234" s="477">
        <v>2098.4</v>
      </c>
      <c r="J234" s="477">
        <v>739.3</v>
      </c>
      <c r="K234" s="477">
        <v>5197.2</v>
      </c>
      <c r="L234" s="484"/>
      <c r="M234" s="480">
        <v>41852</v>
      </c>
      <c r="N234" s="478">
        <v>391.93</v>
      </c>
      <c r="O234" s="10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</row>
    <row r="235" spans="1:27" ht="12.75">
      <c r="A235" s="480">
        <v>41883</v>
      </c>
      <c r="B235" s="481">
        <v>42303</v>
      </c>
      <c r="C235" s="477">
        <f t="shared" si="3"/>
        <v>392.44</v>
      </c>
      <c r="D235" s="477">
        <v>1621</v>
      </c>
      <c r="E235" s="477">
        <v>1451.2</v>
      </c>
      <c r="F235" s="477">
        <v>1785.2</v>
      </c>
      <c r="G235" s="477">
        <v>1039.5</v>
      </c>
      <c r="H235" s="477">
        <v>3499.6</v>
      </c>
      <c r="I235" s="477">
        <v>2135.6</v>
      </c>
      <c r="J235" s="477">
        <v>764.3</v>
      </c>
      <c r="K235" s="477">
        <v>5197.4</v>
      </c>
      <c r="L235" s="484"/>
      <c r="M235" s="480">
        <v>41883</v>
      </c>
      <c r="N235" s="478">
        <v>392.44</v>
      </c>
      <c r="O235" s="10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</row>
    <row r="236" spans="1:27" ht="12.75">
      <c r="A236" s="480">
        <v>41913</v>
      </c>
      <c r="B236" s="481">
        <v>42303</v>
      </c>
      <c r="C236" s="477">
        <f t="shared" si="3"/>
        <v>393.99</v>
      </c>
      <c r="D236" s="477">
        <v>1633.4</v>
      </c>
      <c r="E236" s="477">
        <v>1455</v>
      </c>
      <c r="F236" s="477">
        <v>1781.7</v>
      </c>
      <c r="G236" s="477">
        <v>1047</v>
      </c>
      <c r="H236" s="477">
        <v>3400.9</v>
      </c>
      <c r="I236" s="477">
        <v>2121.1</v>
      </c>
      <c r="J236" s="477">
        <v>772.9</v>
      </c>
      <c r="K236" s="477">
        <v>5163.1</v>
      </c>
      <c r="L236" s="484"/>
      <c r="M236" s="480">
        <v>41913</v>
      </c>
      <c r="N236" s="478">
        <v>393.99</v>
      </c>
      <c r="O236" s="10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</row>
    <row r="237" spans="1:27" ht="12.75">
      <c r="A237" s="480">
        <v>41944</v>
      </c>
      <c r="B237" s="481">
        <v>42303</v>
      </c>
      <c r="C237" s="477">
        <f t="shared" si="3"/>
        <v>393.76</v>
      </c>
      <c r="D237" s="477">
        <v>1644.9</v>
      </c>
      <c r="E237" s="477">
        <v>1453.2</v>
      </c>
      <c r="F237" s="477">
        <v>1783.7</v>
      </c>
      <c r="G237" s="477">
        <v>1035.6</v>
      </c>
      <c r="H237" s="477">
        <v>3267.8</v>
      </c>
      <c r="I237" s="477">
        <v>2151.6</v>
      </c>
      <c r="J237" s="477">
        <v>779.9</v>
      </c>
      <c r="K237" s="477">
        <v>4810.8</v>
      </c>
      <c r="L237" s="484"/>
      <c r="M237" s="480">
        <v>41944</v>
      </c>
      <c r="N237" s="478">
        <v>393.76</v>
      </c>
      <c r="O237" s="10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</row>
    <row r="238" spans="1:27" ht="12.75">
      <c r="A238" s="482">
        <v>41974</v>
      </c>
      <c r="B238" s="483">
        <v>42303</v>
      </c>
      <c r="C238" s="479">
        <f t="shared" si="3"/>
        <v>391.81</v>
      </c>
      <c r="D238" s="479">
        <v>1642.9</v>
      </c>
      <c r="E238" s="479">
        <v>1456.2</v>
      </c>
      <c r="F238" s="479">
        <v>1783.2</v>
      </c>
      <c r="G238" s="479">
        <v>1020.4</v>
      </c>
      <c r="H238" s="479">
        <v>3073.5</v>
      </c>
      <c r="I238" s="479">
        <v>2095.7</v>
      </c>
      <c r="J238" s="479">
        <v>794</v>
      </c>
      <c r="K238" s="479">
        <v>4484.9</v>
      </c>
      <c r="L238" s="484"/>
      <c r="M238" s="482">
        <v>41974</v>
      </c>
      <c r="N238" s="479">
        <v>391.81</v>
      </c>
      <c r="O238" s="10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</row>
    <row r="239" spans="1:27" ht="12.75">
      <c r="A239" s="480">
        <v>42005</v>
      </c>
      <c r="B239" s="481">
        <v>42333</v>
      </c>
      <c r="C239" s="477">
        <f t="shared" si="3"/>
        <v>386.46</v>
      </c>
      <c r="D239" s="477">
        <v>1653.6</v>
      </c>
      <c r="E239" s="477">
        <v>1453.9</v>
      </c>
      <c r="F239" s="477">
        <v>1788.2</v>
      </c>
      <c r="G239" s="477">
        <v>1019.3</v>
      </c>
      <c r="H239" s="477">
        <v>2929.3</v>
      </c>
      <c r="I239" s="477">
        <v>2021</v>
      </c>
      <c r="J239" s="477">
        <v>791.9</v>
      </c>
      <c r="K239" s="477">
        <v>4096.5</v>
      </c>
      <c r="L239" s="484"/>
      <c r="M239" s="480">
        <v>42005</v>
      </c>
      <c r="N239" s="478">
        <v>386.46</v>
      </c>
      <c r="O239" s="10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</row>
    <row r="240" spans="1:27" ht="12.75">
      <c r="A240" s="480">
        <v>42036</v>
      </c>
      <c r="B240" s="481">
        <v>42333</v>
      </c>
      <c r="C240" s="477">
        <f aca="true" t="shared" si="4" ref="C240:C262">IF($O$1=4,$C$157,N240)</f>
        <v>387.13</v>
      </c>
      <c r="D240" s="477">
        <v>1640</v>
      </c>
      <c r="E240" s="477">
        <v>1450.5</v>
      </c>
      <c r="F240" s="477">
        <v>1791.8</v>
      </c>
      <c r="G240" s="477">
        <v>1018</v>
      </c>
      <c r="H240" s="477">
        <v>3013.6</v>
      </c>
      <c r="I240" s="477">
        <v>2039.7</v>
      </c>
      <c r="J240" s="477">
        <v>795.9</v>
      </c>
      <c r="K240" s="477">
        <v>3790.1</v>
      </c>
      <c r="L240" s="484"/>
      <c r="M240" s="480">
        <v>42036</v>
      </c>
      <c r="N240" s="478">
        <v>387.13</v>
      </c>
      <c r="O240" s="10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</row>
    <row r="241" spans="1:27" ht="12.75">
      <c r="A241" s="480">
        <v>42064</v>
      </c>
      <c r="B241" s="481">
        <v>42333</v>
      </c>
      <c r="C241" s="477">
        <f t="shared" si="4"/>
        <v>389.23</v>
      </c>
      <c r="D241" s="477">
        <v>1661.4</v>
      </c>
      <c r="E241" s="477">
        <v>1451.7</v>
      </c>
      <c r="F241" s="477">
        <v>1793.4</v>
      </c>
      <c r="G241" s="477">
        <v>1016.2</v>
      </c>
      <c r="H241" s="477">
        <v>3090.2</v>
      </c>
      <c r="I241" s="477">
        <v>2164</v>
      </c>
      <c r="J241" s="477">
        <v>811.7</v>
      </c>
      <c r="K241" s="477">
        <v>4243.6</v>
      </c>
      <c r="L241" s="484"/>
      <c r="M241" s="480">
        <v>42064</v>
      </c>
      <c r="N241" s="478">
        <v>389.23</v>
      </c>
      <c r="O241" s="10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</row>
    <row r="242" spans="1:27" ht="12.75">
      <c r="A242" s="480">
        <v>42095</v>
      </c>
      <c r="B242" s="481">
        <v>42396</v>
      </c>
      <c r="C242" s="477">
        <f t="shared" si="4"/>
        <v>392.28</v>
      </c>
      <c r="D242" s="477">
        <v>1645.2</v>
      </c>
      <c r="E242" s="477">
        <v>1453.3</v>
      </c>
      <c r="F242" s="477">
        <v>1806.8</v>
      </c>
      <c r="G242" s="477">
        <v>1022</v>
      </c>
      <c r="H242" s="477">
        <v>3113.5</v>
      </c>
      <c r="I242" s="477">
        <v>2217.9</v>
      </c>
      <c r="J242" s="477">
        <v>818.7</v>
      </c>
      <c r="K242" s="477">
        <v>4141.2</v>
      </c>
      <c r="L242" s="484"/>
      <c r="M242" s="480">
        <v>42095</v>
      </c>
      <c r="N242" s="478">
        <v>392.28</v>
      </c>
      <c r="O242" s="10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</row>
    <row r="243" spans="1:27" ht="12.75">
      <c r="A243" s="480">
        <v>42125</v>
      </c>
      <c r="B243" s="481">
        <v>42396</v>
      </c>
      <c r="C243" s="477">
        <f t="shared" si="4"/>
        <v>393.87</v>
      </c>
      <c r="D243" s="477">
        <v>1650</v>
      </c>
      <c r="E243" s="477">
        <v>1451.6</v>
      </c>
      <c r="F243" s="477">
        <v>1808.7</v>
      </c>
      <c r="G243" s="485">
        <v>1007.1</v>
      </c>
      <c r="H243" s="477">
        <v>3180.1</v>
      </c>
      <c r="I243" s="477">
        <v>2226.2</v>
      </c>
      <c r="J243" s="477">
        <v>825.5</v>
      </c>
      <c r="K243" s="477">
        <v>4326</v>
      </c>
      <c r="L243" s="484"/>
      <c r="M243" s="480">
        <v>42125</v>
      </c>
      <c r="N243" s="478">
        <v>393.87</v>
      </c>
      <c r="O243" s="10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</row>
    <row r="244" spans="1:27" ht="12.75">
      <c r="A244" s="480">
        <v>42156</v>
      </c>
      <c r="B244" s="481">
        <v>42396</v>
      </c>
      <c r="C244" s="477">
        <f t="shared" si="4"/>
        <v>394.76</v>
      </c>
      <c r="D244" s="477">
        <v>1651.5</v>
      </c>
      <c r="E244" s="477">
        <v>1454</v>
      </c>
      <c r="F244" s="477">
        <v>1814.1</v>
      </c>
      <c r="G244" s="477">
        <v>1013.2</v>
      </c>
      <c r="H244" s="477">
        <v>3171.3</v>
      </c>
      <c r="I244" s="477">
        <v>2097.3</v>
      </c>
      <c r="J244" s="477">
        <v>800.4</v>
      </c>
      <c r="K244" s="477">
        <v>4336</v>
      </c>
      <c r="L244" s="484"/>
      <c r="M244" s="480">
        <v>42156</v>
      </c>
      <c r="N244" s="478">
        <v>394.76</v>
      </c>
      <c r="O244" s="10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</row>
    <row r="245" spans="1:27" ht="12.75">
      <c r="A245" s="480">
        <v>42186</v>
      </c>
      <c r="B245" s="481">
        <v>42549</v>
      </c>
      <c r="C245" s="477">
        <f t="shared" si="4"/>
        <v>391.65</v>
      </c>
      <c r="D245" s="477">
        <v>1635.5</v>
      </c>
      <c r="E245" s="477">
        <v>1452.7</v>
      </c>
      <c r="F245" s="477">
        <v>1814.1</v>
      </c>
      <c r="G245" s="477">
        <v>1013.2</v>
      </c>
      <c r="H245" s="477">
        <v>3136.3</v>
      </c>
      <c r="I245" s="477">
        <v>2001.7</v>
      </c>
      <c r="J245" s="477">
        <v>773.1</v>
      </c>
      <c r="K245" s="477">
        <v>4268.6</v>
      </c>
      <c r="L245" s="484"/>
      <c r="M245" s="480">
        <v>42186</v>
      </c>
      <c r="N245" s="478">
        <v>391.65</v>
      </c>
      <c r="O245" s="10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</row>
    <row r="246" spans="1:27" ht="12.75">
      <c r="A246" s="480">
        <v>42217</v>
      </c>
      <c r="B246" s="481">
        <v>42549</v>
      </c>
      <c r="C246" s="477">
        <f t="shared" si="4"/>
        <v>390.54</v>
      </c>
      <c r="D246" s="477">
        <v>1633.8</v>
      </c>
      <c r="E246" s="477">
        <v>1454</v>
      </c>
      <c r="F246" s="477">
        <v>1814.3</v>
      </c>
      <c r="G246" s="477">
        <v>998.9</v>
      </c>
      <c r="H246" s="477">
        <v>2953.3</v>
      </c>
      <c r="I246" s="477">
        <v>1860.4</v>
      </c>
      <c r="J246" s="477">
        <v>759.4</v>
      </c>
      <c r="K246" s="477">
        <v>3831.6</v>
      </c>
      <c r="L246" s="484"/>
      <c r="M246" s="480">
        <v>42217</v>
      </c>
      <c r="N246" s="478">
        <v>390.54</v>
      </c>
      <c r="O246" s="10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</row>
    <row r="247" spans="1:27" ht="12.75">
      <c r="A247" s="480">
        <v>42248</v>
      </c>
      <c r="B247" s="481">
        <v>42549</v>
      </c>
      <c r="C247" s="477">
        <f t="shared" si="4"/>
        <v>389.52</v>
      </c>
      <c r="D247" s="477">
        <v>1628.1</v>
      </c>
      <c r="E247" s="477">
        <v>1452.8</v>
      </c>
      <c r="F247" s="477">
        <v>1812.7</v>
      </c>
      <c r="G247" s="477">
        <v>976.3</v>
      </c>
      <c r="H247" s="477">
        <v>2866.7</v>
      </c>
      <c r="I247" s="477">
        <v>1876.7</v>
      </c>
      <c r="J247" s="477">
        <v>746.1</v>
      </c>
      <c r="K247" s="477">
        <v>3388.1</v>
      </c>
      <c r="L247" s="484"/>
      <c r="M247" s="480">
        <v>42248</v>
      </c>
      <c r="N247" s="478">
        <v>389.52</v>
      </c>
      <c r="O247" s="10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</row>
    <row r="248" spans="1:27" ht="12.75">
      <c r="A248" s="480">
        <v>42278</v>
      </c>
      <c r="B248" s="481">
        <v>42549</v>
      </c>
      <c r="C248" s="477">
        <f t="shared" si="4"/>
        <v>391.64</v>
      </c>
      <c r="D248" s="477">
        <v>1631.1</v>
      </c>
      <c r="E248" s="477">
        <v>1451.4</v>
      </c>
      <c r="F248" s="477">
        <v>1812.9</v>
      </c>
      <c r="G248" s="477">
        <v>948.9</v>
      </c>
      <c r="H248" s="477">
        <v>2849.3</v>
      </c>
      <c r="I248" s="477">
        <v>1883.2</v>
      </c>
      <c r="J248" s="477">
        <v>735.2</v>
      </c>
      <c r="K248" s="477">
        <v>3318.7</v>
      </c>
      <c r="L248" s="484"/>
      <c r="M248" s="480">
        <v>42278</v>
      </c>
      <c r="N248" s="478">
        <v>391.64</v>
      </c>
      <c r="O248" s="10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</row>
    <row r="249" spans="1:27" ht="12.75">
      <c r="A249" s="480">
        <v>42309</v>
      </c>
      <c r="B249" s="481">
        <v>42549</v>
      </c>
      <c r="C249" s="477">
        <f t="shared" si="4"/>
        <v>392.86</v>
      </c>
      <c r="D249" s="477">
        <v>1632.7</v>
      </c>
      <c r="E249" s="477">
        <v>1450</v>
      </c>
      <c r="F249" s="477">
        <v>1808.2</v>
      </c>
      <c r="G249" s="477">
        <v>910.9</v>
      </c>
      <c r="H249" s="477">
        <v>2862.3</v>
      </c>
      <c r="I249" s="477">
        <v>1832.9</v>
      </c>
      <c r="J249" s="477">
        <v>733.2</v>
      </c>
      <c r="K249" s="477">
        <v>3293.5</v>
      </c>
      <c r="L249" s="484"/>
      <c r="M249" s="480">
        <v>42309</v>
      </c>
      <c r="N249" s="478">
        <v>392.86</v>
      </c>
      <c r="O249" s="10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</row>
    <row r="250" spans="1:27" ht="12.75">
      <c r="A250" s="482">
        <v>42339</v>
      </c>
      <c r="B250" s="483">
        <v>42549</v>
      </c>
      <c r="C250" s="479">
        <f t="shared" si="4"/>
        <v>391.88</v>
      </c>
      <c r="D250" s="479">
        <v>1632.9</v>
      </c>
      <c r="E250" s="479">
        <v>1451.4</v>
      </c>
      <c r="F250" s="479">
        <v>1808.6</v>
      </c>
      <c r="G250" s="479">
        <v>910.9</v>
      </c>
      <c r="H250" s="479">
        <v>2734.8</v>
      </c>
      <c r="I250" s="479">
        <v>1745.7</v>
      </c>
      <c r="J250" s="479">
        <v>717.8</v>
      </c>
      <c r="K250" s="479">
        <v>3176.7</v>
      </c>
      <c r="L250" s="484"/>
      <c r="M250" s="482">
        <v>42339</v>
      </c>
      <c r="N250" s="479">
        <v>391.88</v>
      </c>
      <c r="O250" s="10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</row>
    <row r="251" spans="1:27" ht="12.75">
      <c r="A251" s="480">
        <v>42370</v>
      </c>
      <c r="B251" s="481">
        <v>42663</v>
      </c>
      <c r="C251" s="477">
        <f t="shared" si="4"/>
        <v>385.53</v>
      </c>
      <c r="D251" s="477">
        <v>1633.9</v>
      </c>
      <c r="E251" s="477">
        <v>1453.7</v>
      </c>
      <c r="F251" s="477">
        <v>1820.7</v>
      </c>
      <c r="G251" s="477">
        <v>908.9</v>
      </c>
      <c r="H251" s="477">
        <v>2524.8</v>
      </c>
      <c r="I251" s="477">
        <v>1686.9</v>
      </c>
      <c r="J251" s="477">
        <v>721.4</v>
      </c>
      <c r="K251" s="477">
        <v>2868.4</v>
      </c>
      <c r="L251" s="484"/>
      <c r="M251" s="480">
        <v>42370</v>
      </c>
      <c r="N251" s="478">
        <v>385.53</v>
      </c>
      <c r="O251" s="10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</row>
    <row r="252" spans="1:27" ht="12.75">
      <c r="A252" s="480">
        <v>42401</v>
      </c>
      <c r="B252" s="481">
        <v>42663</v>
      </c>
      <c r="C252" s="477">
        <f>IF($O$1=4,$C$157,N252)</f>
        <v>384.37</v>
      </c>
      <c r="D252" s="477">
        <v>1633.2</v>
      </c>
      <c r="E252" s="477">
        <v>1445.4</v>
      </c>
      <c r="F252" s="477">
        <v>1821.1</v>
      </c>
      <c r="G252" s="477">
        <v>902.4</v>
      </c>
      <c r="H252" s="477">
        <v>2457.2</v>
      </c>
      <c r="I252" s="477">
        <v>1676.2</v>
      </c>
      <c r="J252" s="477">
        <v>718.8</v>
      </c>
      <c r="K252" s="477">
        <v>2444.7</v>
      </c>
      <c r="L252" s="484"/>
      <c r="M252" s="480">
        <v>42401</v>
      </c>
      <c r="N252" s="478">
        <v>384.37</v>
      </c>
      <c r="O252" s="10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</row>
    <row r="253" spans="1:27" ht="12.75">
      <c r="A253" s="480">
        <v>42430</v>
      </c>
      <c r="B253" s="481">
        <v>42663</v>
      </c>
      <c r="C253" s="477">
        <f t="shared" si="4"/>
        <v>386.47</v>
      </c>
      <c r="D253" s="477">
        <v>1638.7</v>
      </c>
      <c r="E253" s="477">
        <v>1443.8</v>
      </c>
      <c r="F253" s="477">
        <v>1835.7</v>
      </c>
      <c r="G253" s="477">
        <v>889.6</v>
      </c>
      <c r="H253" s="477">
        <v>2525.8</v>
      </c>
      <c r="I253" s="477">
        <v>1779.2</v>
      </c>
      <c r="J253" s="477">
        <v>716</v>
      </c>
      <c r="K253" s="477">
        <v>2588.8</v>
      </c>
      <c r="L253" s="484"/>
      <c r="M253" s="480">
        <v>42430</v>
      </c>
      <c r="N253" s="478">
        <v>386.47</v>
      </c>
      <c r="O253" s="10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</row>
    <row r="254" spans="1:27" ht="12.75">
      <c r="A254" s="480">
        <v>42461</v>
      </c>
      <c r="B254" s="481">
        <v>42895</v>
      </c>
      <c r="C254" s="477">
        <f t="shared" si="4"/>
        <v>388.77</v>
      </c>
      <c r="D254" s="477">
        <v>1641.6</v>
      </c>
      <c r="E254" s="477">
        <v>1436</v>
      </c>
      <c r="F254" s="477">
        <v>1838.6</v>
      </c>
      <c r="G254" s="477">
        <v>932.5</v>
      </c>
      <c r="H254" s="477">
        <v>2521.1</v>
      </c>
      <c r="I254" s="477">
        <v>1732.7</v>
      </c>
      <c r="J254" s="477">
        <v>712.8</v>
      </c>
      <c r="K254" s="477">
        <v>2818.5</v>
      </c>
      <c r="L254" s="484"/>
      <c r="M254" s="480">
        <v>42461</v>
      </c>
      <c r="N254" s="478">
        <v>388.77</v>
      </c>
      <c r="O254" s="10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</row>
    <row r="255" spans="1:27" ht="12.75">
      <c r="A255" s="480">
        <v>42491</v>
      </c>
      <c r="B255" s="481">
        <v>42895</v>
      </c>
      <c r="C255" s="477">
        <f t="shared" si="4"/>
        <v>390.58</v>
      </c>
      <c r="D255" s="477">
        <v>1638.3</v>
      </c>
      <c r="E255" s="477">
        <v>1436.8</v>
      </c>
      <c r="F255" s="477">
        <v>1845.2</v>
      </c>
      <c r="G255" s="477">
        <v>994.8</v>
      </c>
      <c r="H255" s="477">
        <v>2642.8</v>
      </c>
      <c r="I255" s="477">
        <v>1696.6</v>
      </c>
      <c r="J255" s="477">
        <v>712.3</v>
      </c>
      <c r="K255" s="477">
        <v>3055.5</v>
      </c>
      <c r="L255" s="484"/>
      <c r="M255" s="480">
        <v>42491</v>
      </c>
      <c r="N255" s="478">
        <v>390.58</v>
      </c>
      <c r="O255" s="10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</row>
    <row r="256" spans="1:27" ht="12.75">
      <c r="A256" s="480">
        <v>42522</v>
      </c>
      <c r="B256" s="481">
        <v>42895</v>
      </c>
      <c r="C256" s="477">
        <f t="shared" si="4"/>
        <v>392.11</v>
      </c>
      <c r="D256" s="477">
        <v>1638.5</v>
      </c>
      <c r="E256" s="477">
        <v>1437.9</v>
      </c>
      <c r="F256" s="477">
        <v>1841.9</v>
      </c>
      <c r="G256" s="477">
        <v>1007.8</v>
      </c>
      <c r="H256" s="477">
        <v>2804</v>
      </c>
      <c r="I256" s="477">
        <v>1707.9</v>
      </c>
      <c r="J256" s="477">
        <v>715.6</v>
      </c>
      <c r="K256" s="477">
        <v>3349.4</v>
      </c>
      <c r="L256" s="484"/>
      <c r="M256" s="480">
        <v>42522</v>
      </c>
      <c r="N256" s="478">
        <v>392.11</v>
      </c>
      <c r="O256" s="10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</row>
    <row r="257" spans="1:27" ht="12.75">
      <c r="A257" s="480">
        <v>42552</v>
      </c>
      <c r="B257" s="481">
        <v>42951</v>
      </c>
      <c r="C257" s="477">
        <f t="shared" si="4"/>
        <v>389.69</v>
      </c>
      <c r="D257" s="477">
        <v>1647.2</v>
      </c>
      <c r="E257" s="477">
        <v>1441</v>
      </c>
      <c r="F257" s="477">
        <v>1844.5</v>
      </c>
      <c r="G257" s="477">
        <v>1023.3</v>
      </c>
      <c r="H257" s="477">
        <v>2799.5</v>
      </c>
      <c r="I257" s="477">
        <v>1807.7</v>
      </c>
      <c r="J257" s="477">
        <v>719.3</v>
      </c>
      <c r="K257" s="477">
        <v>3521.6</v>
      </c>
      <c r="L257" s="484"/>
      <c r="M257" s="480">
        <v>42552</v>
      </c>
      <c r="N257" s="478">
        <v>389.69</v>
      </c>
      <c r="O257" s="10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</row>
    <row r="258" spans="1:27" ht="12.75">
      <c r="A258" s="480">
        <v>42583</v>
      </c>
      <c r="B258" s="481">
        <v>42951</v>
      </c>
      <c r="C258" s="477">
        <f t="shared" si="4"/>
        <v>390.11</v>
      </c>
      <c r="D258" s="477">
        <v>1639.5</v>
      </c>
      <c r="E258" s="477">
        <v>1437</v>
      </c>
      <c r="F258" s="477">
        <v>1845</v>
      </c>
      <c r="G258" s="477">
        <v>998</v>
      </c>
      <c r="H258" s="477">
        <v>2771.3</v>
      </c>
      <c r="I258" s="477">
        <v>1739.1</v>
      </c>
      <c r="J258" s="477">
        <v>730.7</v>
      </c>
      <c r="K258" s="477">
        <v>3622.6</v>
      </c>
      <c r="L258" s="484"/>
      <c r="M258" s="480">
        <v>42583</v>
      </c>
      <c r="N258" s="478">
        <v>390.11</v>
      </c>
      <c r="O258" s="10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</row>
    <row r="259" spans="1:27" ht="12.75">
      <c r="A259" s="480">
        <v>42614</v>
      </c>
      <c r="B259" s="481">
        <v>42951</v>
      </c>
      <c r="C259" s="477">
        <f t="shared" si="4"/>
        <v>390.13</v>
      </c>
      <c r="D259" s="477">
        <v>1641.4</v>
      </c>
      <c r="E259" s="477">
        <v>1435.4</v>
      </c>
      <c r="F259" s="477">
        <v>1845.2</v>
      </c>
      <c r="G259" s="477">
        <v>1001.6</v>
      </c>
      <c r="H259" s="477">
        <v>2818.2</v>
      </c>
      <c r="I259" s="477">
        <v>1703.5</v>
      </c>
      <c r="J259" s="477">
        <v>726.6</v>
      </c>
      <c r="K259" s="477">
        <v>3595.7</v>
      </c>
      <c r="L259" s="484"/>
      <c r="M259" s="480">
        <v>42614</v>
      </c>
      <c r="N259" s="478">
        <v>390.13</v>
      </c>
      <c r="O259" s="10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</row>
    <row r="260" spans="1:27" ht="12.75">
      <c r="A260" s="480">
        <v>42644</v>
      </c>
      <c r="B260" s="481">
        <v>42951</v>
      </c>
      <c r="C260" s="477">
        <f t="shared" si="4"/>
        <v>393.92</v>
      </c>
      <c r="D260" s="477">
        <v>1649.9</v>
      </c>
      <c r="E260" s="477">
        <v>1436.6</v>
      </c>
      <c r="F260" s="477">
        <v>1846</v>
      </c>
      <c r="G260" s="477">
        <v>990.1</v>
      </c>
      <c r="H260" s="477">
        <v>2951.5</v>
      </c>
      <c r="I260" s="477">
        <v>1725.9</v>
      </c>
      <c r="J260" s="477">
        <v>723</v>
      </c>
      <c r="K260" s="477">
        <v>3786</v>
      </c>
      <c r="L260" s="484"/>
      <c r="M260" s="480">
        <v>42644</v>
      </c>
      <c r="N260" s="478">
        <v>393.92</v>
      </c>
      <c r="O260" s="10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</row>
    <row r="261" spans="1:27" ht="12.75">
      <c r="A261" s="480">
        <v>42675</v>
      </c>
      <c r="B261" s="481">
        <v>42951</v>
      </c>
      <c r="C261" s="477">
        <f t="shared" si="4"/>
        <v>395.13</v>
      </c>
      <c r="D261" s="477">
        <v>1630</v>
      </c>
      <c r="E261" s="477">
        <v>1435.9</v>
      </c>
      <c r="F261" s="477">
        <v>1843.1</v>
      </c>
      <c r="G261" s="477">
        <v>1000.9</v>
      </c>
      <c r="H261" s="477">
        <v>2945</v>
      </c>
      <c r="I261" s="477">
        <v>2046.4</v>
      </c>
      <c r="J261" s="477">
        <v>734.8</v>
      </c>
      <c r="K261" s="477">
        <v>3929.3</v>
      </c>
      <c r="L261" s="484"/>
      <c r="M261" s="480">
        <v>42675</v>
      </c>
      <c r="N261" s="478">
        <v>395.13</v>
      </c>
      <c r="O261" s="10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</row>
    <row r="262" spans="1:27" ht="12.75">
      <c r="A262" s="482">
        <v>42705</v>
      </c>
      <c r="B262" s="483">
        <v>42951</v>
      </c>
      <c r="C262" s="479">
        <f t="shared" si="4"/>
        <v>397.12</v>
      </c>
      <c r="D262" s="479">
        <v>1636.5</v>
      </c>
      <c r="E262" s="479">
        <v>1434.9</v>
      </c>
      <c r="F262" s="479">
        <v>1840</v>
      </c>
      <c r="G262" s="479">
        <v>1033.3</v>
      </c>
      <c r="H262" s="479">
        <v>3103.8</v>
      </c>
      <c r="I262" s="479">
        <v>2025.9</v>
      </c>
      <c r="J262" s="479">
        <v>747.1</v>
      </c>
      <c r="K262" s="479">
        <v>4075.4</v>
      </c>
      <c r="L262" s="484"/>
      <c r="M262" s="482">
        <v>42705</v>
      </c>
      <c r="N262" s="479">
        <v>397.12</v>
      </c>
      <c r="O262" s="10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</row>
    <row r="263" spans="1:27" ht="12.75">
      <c r="A263" s="480">
        <v>42736</v>
      </c>
      <c r="B263" s="481">
        <v>43167</v>
      </c>
      <c r="C263" s="477">
        <f aca="true" t="shared" si="5" ref="C263:C274">IF($O$1=4,$C$157,N263)</f>
        <v>395.27</v>
      </c>
      <c r="D263" s="477">
        <v>1636.7</v>
      </c>
      <c r="E263" s="477">
        <v>1437</v>
      </c>
      <c r="F263" s="477">
        <v>1845.5</v>
      </c>
      <c r="G263" s="477">
        <v>1080.4</v>
      </c>
      <c r="H263" s="477">
        <v>3258</v>
      </c>
      <c r="I263" s="477">
        <v>2089.7</v>
      </c>
      <c r="J263" s="477">
        <v>755.4</v>
      </c>
      <c r="K263" s="477">
        <v>4517.1</v>
      </c>
      <c r="L263" s="484"/>
      <c r="M263" s="480">
        <v>42736</v>
      </c>
      <c r="N263" s="478">
        <v>395.27</v>
      </c>
      <c r="O263" s="10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</row>
    <row r="264" spans="1:27" ht="12.75">
      <c r="A264" s="480">
        <v>42767</v>
      </c>
      <c r="B264" s="481">
        <v>43167</v>
      </c>
      <c r="C264" s="477">
        <f t="shared" si="5"/>
        <v>394.06</v>
      </c>
      <c r="D264" s="477">
        <v>1620</v>
      </c>
      <c r="E264" s="477">
        <v>1437.3</v>
      </c>
      <c r="F264" s="477">
        <v>1850.5</v>
      </c>
      <c r="G264" s="477">
        <v>1083.4</v>
      </c>
      <c r="H264" s="477">
        <v>3111.8</v>
      </c>
      <c r="I264" s="477">
        <v>2116.2</v>
      </c>
      <c r="J264" s="477">
        <v>769.9</v>
      </c>
      <c r="K264" s="477">
        <v>4640.9</v>
      </c>
      <c r="L264" s="484"/>
      <c r="M264" s="480">
        <v>42767</v>
      </c>
      <c r="N264" s="478">
        <v>394.06</v>
      </c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</row>
    <row r="265" spans="1:27" ht="12.75">
      <c r="A265" s="480">
        <v>42795</v>
      </c>
      <c r="B265" s="481">
        <v>43167</v>
      </c>
      <c r="C265" s="477">
        <f t="shared" si="5"/>
        <v>393.99</v>
      </c>
      <c r="D265" s="477">
        <v>1615.8</v>
      </c>
      <c r="E265" s="477">
        <v>1439</v>
      </c>
      <c r="F265" s="477">
        <v>1851.3</v>
      </c>
      <c r="G265" s="477">
        <v>1092.7</v>
      </c>
      <c r="H265" s="477">
        <v>3012.5</v>
      </c>
      <c r="I265" s="477">
        <v>2143.1</v>
      </c>
      <c r="J265" s="477">
        <v>777.6</v>
      </c>
      <c r="K265" s="477">
        <v>4519.2</v>
      </c>
      <c r="L265" s="484"/>
      <c r="M265" s="480">
        <v>42795</v>
      </c>
      <c r="N265" s="478">
        <v>393.99</v>
      </c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</row>
    <row r="266" spans="1:27" ht="12.75">
      <c r="A266" s="480">
        <v>42826</v>
      </c>
      <c r="B266" s="481">
        <v>43167</v>
      </c>
      <c r="C266" s="477">
        <f t="shared" si="5"/>
        <v>397.2</v>
      </c>
      <c r="D266" s="477">
        <v>1609.7</v>
      </c>
      <c r="E266" s="477">
        <v>1435.4</v>
      </c>
      <c r="F266" s="477">
        <v>1852.6</v>
      </c>
      <c r="G266" s="477">
        <v>1097.7</v>
      </c>
      <c r="H266" s="477">
        <v>3021.1</v>
      </c>
      <c r="I266" s="477">
        <v>2083.3</v>
      </c>
      <c r="J266" s="477">
        <v>791.5</v>
      </c>
      <c r="K266" s="477">
        <v>4376.5</v>
      </c>
      <c r="L266" s="484"/>
      <c r="M266" s="480">
        <v>42826</v>
      </c>
      <c r="N266" s="478">
        <v>397.2</v>
      </c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</row>
    <row r="267" spans="1:27" ht="12.75">
      <c r="A267" s="480">
        <v>42856</v>
      </c>
      <c r="B267" s="481">
        <v>43167</v>
      </c>
      <c r="C267" s="477">
        <f t="shared" si="5"/>
        <v>397</v>
      </c>
      <c r="D267" s="477">
        <v>1610.5</v>
      </c>
      <c r="E267" s="477">
        <v>1437.8</v>
      </c>
      <c r="F267" s="477">
        <v>1851.8</v>
      </c>
      <c r="G267" s="477">
        <v>1085</v>
      </c>
      <c r="H267" s="477">
        <v>2974.3</v>
      </c>
      <c r="I267" s="477">
        <v>2073.7</v>
      </c>
      <c r="J267" s="477">
        <v>788.8</v>
      </c>
      <c r="K267" s="477">
        <v>4399.1</v>
      </c>
      <c r="L267" s="484"/>
      <c r="M267" s="480">
        <v>42856</v>
      </c>
      <c r="N267" s="478">
        <v>397</v>
      </c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</row>
    <row r="268" spans="1:27" ht="12.75">
      <c r="A268" s="480">
        <v>42887</v>
      </c>
      <c r="B268" s="481">
        <v>43167</v>
      </c>
      <c r="C268" s="477">
        <f t="shared" si="5"/>
        <v>397.15</v>
      </c>
      <c r="D268" s="477">
        <v>1608.5</v>
      </c>
      <c r="E268" s="477">
        <v>1445.4</v>
      </c>
      <c r="F268" s="477">
        <v>1852.7</v>
      </c>
      <c r="G268" s="477">
        <v>1081.6</v>
      </c>
      <c r="H268" s="477">
        <v>2925</v>
      </c>
      <c r="I268" s="477">
        <v>2017.9</v>
      </c>
      <c r="J268" s="477">
        <v>779.3</v>
      </c>
      <c r="K268" s="477">
        <v>4287.7</v>
      </c>
      <c r="L268" s="484"/>
      <c r="M268" s="480">
        <v>42887</v>
      </c>
      <c r="N268" s="478">
        <v>397.15</v>
      </c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</row>
    <row r="269" spans="1:27" ht="12.75">
      <c r="A269" s="480">
        <v>42917</v>
      </c>
      <c r="B269" s="481">
        <v>43167</v>
      </c>
      <c r="C269" s="477">
        <f t="shared" si="5"/>
        <v>394.82</v>
      </c>
      <c r="D269" s="477">
        <v>1609.1</v>
      </c>
      <c r="E269" s="477">
        <v>1447.9</v>
      </c>
      <c r="F269" s="477">
        <v>1854.2</v>
      </c>
      <c r="G269" s="477">
        <v>1083.8</v>
      </c>
      <c r="H269" s="477">
        <v>2909.3</v>
      </c>
      <c r="I269" s="477">
        <v>2100.9</v>
      </c>
      <c r="J269" s="477">
        <v>778.6</v>
      </c>
      <c r="K269" s="477">
        <v>4209.3</v>
      </c>
      <c r="L269" s="484"/>
      <c r="M269" s="480">
        <v>42917</v>
      </c>
      <c r="N269" s="478">
        <v>394.82</v>
      </c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</row>
    <row r="270" spans="1:27" ht="12.75">
      <c r="A270" s="480">
        <v>42948</v>
      </c>
      <c r="B270" s="481">
        <v>43167</v>
      </c>
      <c r="C270" s="477">
        <f t="shared" si="5"/>
        <v>395.49</v>
      </c>
      <c r="D270" s="477">
        <v>1609</v>
      </c>
      <c r="E270" s="477">
        <v>1445</v>
      </c>
      <c r="F270" s="477">
        <v>1853.4</v>
      </c>
      <c r="G270" s="477">
        <v>1094.4</v>
      </c>
      <c r="H270" s="477">
        <v>2936.2</v>
      </c>
      <c r="I270" s="477">
        <v>2124.4</v>
      </c>
      <c r="J270" s="477">
        <v>764.9</v>
      </c>
      <c r="K270" s="477">
        <v>4211</v>
      </c>
      <c r="L270" s="484"/>
      <c r="M270" s="480">
        <v>42948</v>
      </c>
      <c r="N270" s="478">
        <v>395.49</v>
      </c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</row>
    <row r="271" spans="1:27" ht="12.75">
      <c r="A271" s="480">
        <v>42979</v>
      </c>
      <c r="B271" s="481">
        <v>43167</v>
      </c>
      <c r="C271" s="477">
        <f t="shared" si="5"/>
        <v>396.07</v>
      </c>
      <c r="D271" s="477">
        <v>1610.5</v>
      </c>
      <c r="E271" s="477">
        <v>1444.9</v>
      </c>
      <c r="F271" s="477">
        <v>1851.8</v>
      </c>
      <c r="G271" s="477">
        <v>1125.5</v>
      </c>
      <c r="H271" s="477">
        <v>2980.3</v>
      </c>
      <c r="I271" s="477">
        <v>2116.4</v>
      </c>
      <c r="J271" s="477">
        <v>775</v>
      </c>
      <c r="K271" s="477">
        <v>4279.1</v>
      </c>
      <c r="L271" s="484"/>
      <c r="M271" s="480">
        <v>42979</v>
      </c>
      <c r="N271" s="478">
        <v>396.07</v>
      </c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</row>
    <row r="272" spans="1:27" ht="12.75">
      <c r="A272" s="480">
        <v>43009</v>
      </c>
      <c r="B272" s="481">
        <v>43267</v>
      </c>
      <c r="C272" s="477">
        <f t="shared" si="5"/>
        <v>399.18</v>
      </c>
      <c r="D272" s="477">
        <v>1611.2</v>
      </c>
      <c r="E272" s="477">
        <v>1448.1</v>
      </c>
      <c r="F272" s="477">
        <v>1853.5</v>
      </c>
      <c r="G272" s="477">
        <v>1138.7</v>
      </c>
      <c r="H272" s="477">
        <v>3082.6</v>
      </c>
      <c r="I272" s="477">
        <v>2308.2</v>
      </c>
      <c r="J272" s="477">
        <v>781.4</v>
      </c>
      <c r="K272" s="477">
        <v>4488.7</v>
      </c>
      <c r="L272" s="484"/>
      <c r="M272" s="480">
        <v>43009</v>
      </c>
      <c r="N272" s="478">
        <v>399.18</v>
      </c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</row>
    <row r="273" spans="1:27" ht="12.75">
      <c r="A273" s="480">
        <v>43040</v>
      </c>
      <c r="B273" s="481">
        <v>43267</v>
      </c>
      <c r="C273" s="477">
        <f t="shared" si="5"/>
        <v>400.73</v>
      </c>
      <c r="D273" s="477">
        <v>1603.1</v>
      </c>
      <c r="E273" s="477">
        <v>1451.4</v>
      </c>
      <c r="F273" s="477">
        <v>1854.8</v>
      </c>
      <c r="G273" s="477">
        <v>1149.2</v>
      </c>
      <c r="H273" s="477">
        <v>3158</v>
      </c>
      <c r="I273" s="477">
        <v>2101.7</v>
      </c>
      <c r="J273" s="477">
        <v>794</v>
      </c>
      <c r="K273" s="477">
        <v>4567.9</v>
      </c>
      <c r="L273" s="484"/>
      <c r="M273" s="480">
        <v>43040</v>
      </c>
      <c r="N273" s="478">
        <v>400.73</v>
      </c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</row>
    <row r="274" spans="1:27" ht="12.75">
      <c r="A274" s="482">
        <v>43070</v>
      </c>
      <c r="B274" s="483">
        <v>43267</v>
      </c>
      <c r="C274" s="479">
        <f t="shared" si="5"/>
        <v>400.88</v>
      </c>
      <c r="D274" s="479">
        <v>1604.8</v>
      </c>
      <c r="E274" s="479">
        <v>1449.6</v>
      </c>
      <c r="F274" s="479">
        <v>1856.8</v>
      </c>
      <c r="G274" s="479">
        <v>1161.7</v>
      </c>
      <c r="H274" s="479">
        <v>3159.5</v>
      </c>
      <c r="I274" s="479">
        <v>2251.1</v>
      </c>
      <c r="J274" s="479">
        <v>799</v>
      </c>
      <c r="K274" s="479">
        <v>4706.2</v>
      </c>
      <c r="L274" s="484"/>
      <c r="M274" s="482">
        <v>43070</v>
      </c>
      <c r="N274" s="479">
        <v>400.88</v>
      </c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</row>
    <row r="275" spans="1:27" ht="12.75">
      <c r="A275" s="480">
        <v>43101</v>
      </c>
      <c r="B275" s="487">
        <v>43315</v>
      </c>
      <c r="C275" s="488">
        <f aca="true" t="shared" si="6" ref="C275:C292">IF($O$1=4,$C$157,N275)</f>
        <v>397.21</v>
      </c>
      <c r="D275" s="488">
        <v>1601.2</v>
      </c>
      <c r="E275" s="488">
        <v>1452</v>
      </c>
      <c r="F275" s="488">
        <v>1859</v>
      </c>
      <c r="G275" s="488">
        <v>1181.5</v>
      </c>
      <c r="H275" s="488">
        <v>3191.7</v>
      </c>
      <c r="I275" s="488">
        <v>2210.3</v>
      </c>
      <c r="J275" s="488">
        <v>805.4</v>
      </c>
      <c r="K275" s="488">
        <v>4622.2</v>
      </c>
      <c r="L275" s="489"/>
      <c r="M275" s="490">
        <v>43101</v>
      </c>
      <c r="N275" s="491">
        <v>397.21</v>
      </c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</row>
    <row r="276" spans="1:27" ht="12.75">
      <c r="A276" s="480">
        <v>43132</v>
      </c>
      <c r="B276" s="487">
        <v>43315</v>
      </c>
      <c r="C276" s="488">
        <f t="shared" si="6"/>
        <v>397.66</v>
      </c>
      <c r="D276" s="488">
        <v>1612.6</v>
      </c>
      <c r="E276" s="488">
        <v>1448.7</v>
      </c>
      <c r="F276" s="488">
        <v>1863.1</v>
      </c>
      <c r="G276" s="488">
        <v>1193.6</v>
      </c>
      <c r="H276" s="488">
        <v>3135.8</v>
      </c>
      <c r="I276" s="488">
        <v>2195.4</v>
      </c>
      <c r="J276" s="488">
        <v>799.9</v>
      </c>
      <c r="K276" s="488">
        <v>4617.7</v>
      </c>
      <c r="L276" s="489"/>
      <c r="M276" s="490">
        <v>43132</v>
      </c>
      <c r="N276" s="491">
        <v>397.66</v>
      </c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</row>
    <row r="277" spans="1:27" ht="12.75">
      <c r="A277" s="480">
        <v>43160</v>
      </c>
      <c r="B277" s="487">
        <v>43315</v>
      </c>
      <c r="C277" s="488">
        <f t="shared" si="6"/>
        <v>398.06</v>
      </c>
      <c r="D277" s="488">
        <v>1612.9</v>
      </c>
      <c r="E277" s="488">
        <v>1452.2</v>
      </c>
      <c r="F277" s="488">
        <v>1867.6</v>
      </c>
      <c r="G277" s="488">
        <v>1196.9</v>
      </c>
      <c r="H277" s="488">
        <v>3057.6</v>
      </c>
      <c r="I277" s="488">
        <v>2124.3</v>
      </c>
      <c r="J277" s="488">
        <v>789.8</v>
      </c>
      <c r="K277" s="488">
        <v>4601.5</v>
      </c>
      <c r="L277" s="489"/>
      <c r="M277" s="490">
        <v>43160</v>
      </c>
      <c r="N277" s="491">
        <v>398.06</v>
      </c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</row>
    <row r="278" spans="1:27" ht="12.75">
      <c r="A278" s="480">
        <v>43191</v>
      </c>
      <c r="B278" s="481">
        <v>43553</v>
      </c>
      <c r="C278" s="477">
        <f t="shared" si="6"/>
        <v>400.85</v>
      </c>
      <c r="D278" s="477">
        <v>1625.2</v>
      </c>
      <c r="E278" s="477">
        <v>1451.5</v>
      </c>
      <c r="F278" s="477">
        <v>1854.4</v>
      </c>
      <c r="G278" s="477">
        <v>1191.8</v>
      </c>
      <c r="H278" s="477">
        <v>3111</v>
      </c>
      <c r="I278" s="477">
        <v>2156.7</v>
      </c>
      <c r="J278" s="477">
        <v>791.7</v>
      </c>
      <c r="K278" s="477">
        <v>4706.5</v>
      </c>
      <c r="L278" s="484"/>
      <c r="M278" s="480">
        <v>43191</v>
      </c>
      <c r="N278" s="478">
        <v>400.85</v>
      </c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</row>
    <row r="279" spans="1:27" ht="12.75">
      <c r="A279" s="480">
        <v>43221</v>
      </c>
      <c r="B279" s="481">
        <v>43553</v>
      </c>
      <c r="C279" s="477">
        <f t="shared" si="6"/>
        <v>403.93</v>
      </c>
      <c r="D279" s="477">
        <v>1615.8</v>
      </c>
      <c r="E279" s="477">
        <v>1444.4</v>
      </c>
      <c r="F279" s="477">
        <v>1854.3</v>
      </c>
      <c r="G279" s="477">
        <v>1180</v>
      </c>
      <c r="H279" s="477">
        <v>3320.6</v>
      </c>
      <c r="I279" s="477">
        <v>2219.2</v>
      </c>
      <c r="J279" s="477">
        <v>806.1</v>
      </c>
      <c r="K279" s="477">
        <v>5019.3</v>
      </c>
      <c r="L279" s="484"/>
      <c r="M279" s="480">
        <v>43221</v>
      </c>
      <c r="N279" s="478">
        <v>403.93</v>
      </c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</row>
    <row r="280" spans="1:27" ht="12.75">
      <c r="A280" s="480">
        <v>43252</v>
      </c>
      <c r="B280" s="481">
        <v>43553</v>
      </c>
      <c r="C280" s="477">
        <f t="shared" si="6"/>
        <v>404.82</v>
      </c>
      <c r="D280" s="477">
        <v>1616.1</v>
      </c>
      <c r="E280" s="477">
        <v>1449.4</v>
      </c>
      <c r="F280" s="477">
        <v>1858.7</v>
      </c>
      <c r="G280" s="477">
        <v>1176.1</v>
      </c>
      <c r="H280" s="477">
        <v>3395.7</v>
      </c>
      <c r="I280" s="477">
        <v>2300.4</v>
      </c>
      <c r="J280" s="477">
        <v>837.8</v>
      </c>
      <c r="K280" s="477">
        <v>5455.2</v>
      </c>
      <c r="L280" s="484"/>
      <c r="M280" s="480">
        <v>43252</v>
      </c>
      <c r="N280" s="478">
        <v>404.82</v>
      </c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</row>
    <row r="281" spans="1:27" ht="12.75">
      <c r="A281" s="480">
        <v>43282</v>
      </c>
      <c r="B281" s="481">
        <v>43602</v>
      </c>
      <c r="C281" s="477">
        <f t="shared" si="6"/>
        <v>402.36</v>
      </c>
      <c r="D281" s="477">
        <v>1624.4</v>
      </c>
      <c r="E281" s="477">
        <v>1454.7</v>
      </c>
      <c r="F281" s="477">
        <v>1863.3</v>
      </c>
      <c r="G281" s="477">
        <v>1181.5</v>
      </c>
      <c r="H281" s="477">
        <v>3439.4</v>
      </c>
      <c r="I281" s="477">
        <v>2114.2</v>
      </c>
      <c r="J281" s="477">
        <v>839.6</v>
      </c>
      <c r="K281" s="477">
        <v>5523.8</v>
      </c>
      <c r="L281" s="484"/>
      <c r="M281" s="480">
        <v>43282</v>
      </c>
      <c r="N281" s="478">
        <v>402.36</v>
      </c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</row>
    <row r="282" spans="1:27" ht="12.75">
      <c r="A282" s="480">
        <v>43313</v>
      </c>
      <c r="B282" s="481">
        <v>43602</v>
      </c>
      <c r="C282" s="477">
        <f t="shared" si="6"/>
        <v>402.84</v>
      </c>
      <c r="D282" s="477">
        <v>1624.1</v>
      </c>
      <c r="E282" s="477">
        <v>1450.6</v>
      </c>
      <c r="F282" s="477">
        <v>1862.9</v>
      </c>
      <c r="G282" s="477">
        <v>1183.6</v>
      </c>
      <c r="H282" s="477">
        <v>3447.8</v>
      </c>
      <c r="I282" s="477">
        <v>2019.5</v>
      </c>
      <c r="J282" s="477">
        <v>833.1</v>
      </c>
      <c r="K282" s="477">
        <v>5545.6</v>
      </c>
      <c r="L282" s="484"/>
      <c r="M282" s="480">
        <v>43313</v>
      </c>
      <c r="N282" s="478">
        <v>402.84</v>
      </c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</row>
    <row r="283" spans="1:27" ht="12.75">
      <c r="A283" s="480">
        <v>43344</v>
      </c>
      <c r="B283" s="481">
        <v>43602</v>
      </c>
      <c r="C283" s="477">
        <f t="shared" si="6"/>
        <v>403.68</v>
      </c>
      <c r="D283" s="477">
        <v>1619.4</v>
      </c>
      <c r="E283" s="477">
        <v>1452</v>
      </c>
      <c r="F283" s="477">
        <v>1863.8</v>
      </c>
      <c r="G283" s="477">
        <v>1184.5</v>
      </c>
      <c r="H283" s="477">
        <v>3514.7</v>
      </c>
      <c r="I283" s="477">
        <v>2011.1</v>
      </c>
      <c r="J283" s="477">
        <v>804.2</v>
      </c>
      <c r="K283" s="477">
        <v>5589.2</v>
      </c>
      <c r="L283" s="484"/>
      <c r="M283" s="480">
        <v>43344</v>
      </c>
      <c r="N283" s="478">
        <v>403.68</v>
      </c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</row>
    <row r="284" spans="1:27" ht="12.75">
      <c r="A284" s="480">
        <v>43374</v>
      </c>
      <c r="B284" s="481">
        <v>43921</v>
      </c>
      <c r="C284" s="477">
        <f t="shared" si="6"/>
        <v>406.85</v>
      </c>
      <c r="D284" s="477">
        <v>1616.8</v>
      </c>
      <c r="E284" s="477">
        <v>1454.3</v>
      </c>
      <c r="F284" s="477">
        <v>1863.4</v>
      </c>
      <c r="G284" s="477">
        <v>1193.4</v>
      </c>
      <c r="H284" s="477">
        <v>3560.1</v>
      </c>
      <c r="I284" s="477">
        <v>2092.1</v>
      </c>
      <c r="J284" s="477">
        <v>815.9</v>
      </c>
      <c r="K284" s="477">
        <v>5760.9</v>
      </c>
      <c r="L284" s="484"/>
      <c r="M284" s="480">
        <v>43374</v>
      </c>
      <c r="N284" s="478">
        <v>406.85</v>
      </c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</row>
    <row r="285" spans="1:27" ht="12.75">
      <c r="A285" s="480">
        <v>43405</v>
      </c>
      <c r="B285" s="481">
        <v>43921</v>
      </c>
      <c r="C285" s="477">
        <f t="shared" si="6"/>
        <v>406.47</v>
      </c>
      <c r="D285" s="477">
        <v>1619.8</v>
      </c>
      <c r="E285" s="477">
        <v>1454.6</v>
      </c>
      <c r="F285" s="477">
        <v>1863.8</v>
      </c>
      <c r="G285" s="477">
        <v>1181.7</v>
      </c>
      <c r="H285" s="477">
        <v>3477.5</v>
      </c>
      <c r="I285" s="477">
        <v>2138.1</v>
      </c>
      <c r="J285" s="477">
        <v>803.5</v>
      </c>
      <c r="K285" s="477">
        <v>5727.6</v>
      </c>
      <c r="L285" s="484"/>
      <c r="M285" s="480">
        <v>43405</v>
      </c>
      <c r="N285" s="478">
        <v>406.47</v>
      </c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</row>
    <row r="286" spans="1:27" ht="12.75">
      <c r="A286" s="482">
        <v>43435</v>
      </c>
      <c r="B286" s="483">
        <v>43921</v>
      </c>
      <c r="C286" s="479">
        <f t="shared" si="6"/>
        <v>404.92</v>
      </c>
      <c r="D286" s="479">
        <v>1620.3</v>
      </c>
      <c r="E286" s="479">
        <v>1455.9</v>
      </c>
      <c r="F286" s="479">
        <v>1862.8</v>
      </c>
      <c r="G286" s="479">
        <v>1171.6</v>
      </c>
      <c r="H286" s="479">
        <v>3329.9</v>
      </c>
      <c r="I286" s="479">
        <v>2075.3</v>
      </c>
      <c r="J286" s="479">
        <v>790.4</v>
      </c>
      <c r="K286" s="479">
        <v>5304.5</v>
      </c>
      <c r="L286" s="484"/>
      <c r="M286" s="482">
        <v>43435</v>
      </c>
      <c r="N286" s="479">
        <v>404.92</v>
      </c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</row>
    <row r="287" spans="1:27" ht="12.75">
      <c r="A287" s="480">
        <v>43466</v>
      </c>
      <c r="B287" s="481">
        <v>43921</v>
      </c>
      <c r="C287" s="477">
        <f t="shared" si="6"/>
        <v>400.52</v>
      </c>
      <c r="D287" s="477">
        <v>1636.4</v>
      </c>
      <c r="E287" s="477">
        <v>1460.4</v>
      </c>
      <c r="F287" s="477">
        <v>1868.7</v>
      </c>
      <c r="G287" s="477">
        <v>1175.5</v>
      </c>
      <c r="H287" s="477">
        <v>3301.1</v>
      </c>
      <c r="I287" s="477">
        <v>2044.1</v>
      </c>
      <c r="J287" s="477">
        <v>803.9</v>
      </c>
      <c r="K287" s="477">
        <v>4988.7</v>
      </c>
      <c r="L287" s="484"/>
      <c r="M287" s="480">
        <v>43466</v>
      </c>
      <c r="N287" s="478">
        <v>400.52</v>
      </c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</row>
    <row r="288" spans="1:27" ht="12.75">
      <c r="A288" s="480">
        <v>43497</v>
      </c>
      <c r="B288" s="481">
        <v>43921</v>
      </c>
      <c r="C288" s="477">
        <f t="shared" si="6"/>
        <v>401.35</v>
      </c>
      <c r="D288" s="477">
        <v>1640.7</v>
      </c>
      <c r="E288" s="477">
        <v>1464.5</v>
      </c>
      <c r="F288" s="477">
        <v>1877.1</v>
      </c>
      <c r="G288" s="477">
        <v>1163.7</v>
      </c>
      <c r="H288" s="477">
        <v>3373.6</v>
      </c>
      <c r="I288" s="477">
        <v>2168.5</v>
      </c>
      <c r="J288" s="477">
        <v>796.9</v>
      </c>
      <c r="K288" s="477">
        <v>5258.6</v>
      </c>
      <c r="L288" s="484"/>
      <c r="M288" s="480">
        <v>43497</v>
      </c>
      <c r="N288" s="478">
        <v>401.35</v>
      </c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</row>
    <row r="289" spans="1:27" ht="12.75">
      <c r="A289" s="480">
        <v>43525</v>
      </c>
      <c r="B289" s="481">
        <v>43921</v>
      </c>
      <c r="C289" s="477">
        <f t="shared" si="6"/>
        <v>402.59</v>
      </c>
      <c r="D289" s="477">
        <v>1642.6</v>
      </c>
      <c r="E289" s="477">
        <v>1470.3</v>
      </c>
      <c r="F289" s="477">
        <v>1878.9</v>
      </c>
      <c r="G289" s="477">
        <v>1166.4</v>
      </c>
      <c r="H289" s="477">
        <v>3387.7</v>
      </c>
      <c r="I289" s="477">
        <v>2211.8</v>
      </c>
      <c r="J289" s="477">
        <v>799.4</v>
      </c>
      <c r="K289" s="477">
        <v>5614</v>
      </c>
      <c r="L289" s="484"/>
      <c r="M289" s="480">
        <v>43525</v>
      </c>
      <c r="N289" s="478">
        <v>402.59</v>
      </c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</row>
    <row r="290" spans="1:27" ht="12.75">
      <c r="A290" s="480">
        <v>43556</v>
      </c>
      <c r="B290" s="481">
        <v>43921</v>
      </c>
      <c r="C290" s="477">
        <f t="shared" si="6"/>
        <v>406.04</v>
      </c>
      <c r="D290" s="477">
        <v>1643.7</v>
      </c>
      <c r="E290" s="477">
        <v>1473.6</v>
      </c>
      <c r="F290" s="477">
        <v>1880.3</v>
      </c>
      <c r="G290" s="477">
        <v>1166.4</v>
      </c>
      <c r="H290" s="477" t="s">
        <v>359</v>
      </c>
      <c r="I290" s="477">
        <v>2204.4</v>
      </c>
      <c r="J290" s="477">
        <v>790.1</v>
      </c>
      <c r="K290" s="477">
        <v>5721.8</v>
      </c>
      <c r="L290" s="484"/>
      <c r="M290" s="480">
        <v>43556</v>
      </c>
      <c r="N290" s="478">
        <v>406.04</v>
      </c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</row>
    <row r="291" spans="1:27" ht="12.75">
      <c r="A291" s="480">
        <v>43586</v>
      </c>
      <c r="B291" s="481">
        <v>43921</v>
      </c>
      <c r="C291" s="477">
        <f t="shared" si="6"/>
        <v>406.71</v>
      </c>
      <c r="D291" s="477">
        <v>1640</v>
      </c>
      <c r="E291" s="477">
        <v>1475.8</v>
      </c>
      <c r="F291" s="477">
        <v>1883.2</v>
      </c>
      <c r="G291" s="477">
        <v>1155.9</v>
      </c>
      <c r="H291" s="477">
        <v>3431</v>
      </c>
      <c r="I291" s="477">
        <v>2075.6</v>
      </c>
      <c r="J291" s="477">
        <v>789.9</v>
      </c>
      <c r="K291" s="477">
        <v>5832</v>
      </c>
      <c r="L291" s="484"/>
      <c r="M291" s="480">
        <v>43586</v>
      </c>
      <c r="N291" s="478">
        <v>406.71</v>
      </c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</row>
    <row r="292" spans="1:27" ht="12.75">
      <c r="A292" s="480">
        <v>43617</v>
      </c>
      <c r="B292" s="481">
        <v>43921</v>
      </c>
      <c r="C292" s="477">
        <f t="shared" si="6"/>
        <v>406.31</v>
      </c>
      <c r="D292" s="477">
        <v>1645.5</v>
      </c>
      <c r="E292" s="477">
        <v>1478.5</v>
      </c>
      <c r="F292" s="477">
        <v>1885.8</v>
      </c>
      <c r="G292" s="477">
        <v>1149.8</v>
      </c>
      <c r="H292" s="477">
        <v>3319.5</v>
      </c>
      <c r="I292" s="477">
        <v>2052.7</v>
      </c>
      <c r="J292" s="477">
        <v>792.6</v>
      </c>
      <c r="K292" s="477">
        <v>5484.1</v>
      </c>
      <c r="L292" s="484"/>
      <c r="M292" s="480">
        <v>43617</v>
      </c>
      <c r="N292" s="478">
        <v>406.31</v>
      </c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</row>
    <row r="293" spans="1:27" ht="12.75">
      <c r="A293" s="492">
        <v>43647</v>
      </c>
      <c r="B293" s="493">
        <v>44204</v>
      </c>
      <c r="C293" s="494">
        <v>404.17</v>
      </c>
      <c r="D293" s="494">
        <v>1646.9</v>
      </c>
      <c r="E293" s="494">
        <v>1478.5</v>
      </c>
      <c r="F293" s="494">
        <v>1885.8</v>
      </c>
      <c r="G293" s="494">
        <v>1135.9</v>
      </c>
      <c r="H293" s="494">
        <v>3346.9</v>
      </c>
      <c r="I293" s="494">
        <v>2064.4</v>
      </c>
      <c r="J293" s="494">
        <v>792.8</v>
      </c>
      <c r="K293" s="494">
        <v>5417.4</v>
      </c>
      <c r="L293" s="495"/>
      <c r="M293" s="492">
        <v>44013</v>
      </c>
      <c r="N293" s="496">
        <v>404.17</v>
      </c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</row>
    <row r="294" spans="1:27" ht="12.75">
      <c r="A294" s="492">
        <v>43678</v>
      </c>
      <c r="B294" s="493">
        <v>44204</v>
      </c>
      <c r="C294" s="494">
        <v>403.98</v>
      </c>
      <c r="D294" s="494">
        <v>1652</v>
      </c>
      <c r="E294" s="494">
        <v>1482</v>
      </c>
      <c r="F294" s="494">
        <v>1888.4</v>
      </c>
      <c r="G294" s="494">
        <v>1132</v>
      </c>
      <c r="H294" s="494">
        <v>3283.6</v>
      </c>
      <c r="I294" s="494">
        <v>1958.3</v>
      </c>
      <c r="J294" s="494">
        <v>779.7</v>
      </c>
      <c r="K294" s="494">
        <v>5310</v>
      </c>
      <c r="L294" s="495"/>
      <c r="M294" s="492">
        <v>44044</v>
      </c>
      <c r="N294" s="496">
        <v>403.98</v>
      </c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</row>
    <row r="295" spans="1:27" ht="12.75">
      <c r="A295" s="492">
        <v>43709</v>
      </c>
      <c r="B295" s="493">
        <v>44204</v>
      </c>
      <c r="C295" s="494">
        <v>403.98</v>
      </c>
      <c r="D295" s="494">
        <v>1644.5</v>
      </c>
      <c r="E295" s="494">
        <v>1483.3</v>
      </c>
      <c r="F295" s="494">
        <v>1891.2</v>
      </c>
      <c r="G295" s="494">
        <v>1117.7</v>
      </c>
      <c r="H295" s="494">
        <v>3270.6</v>
      </c>
      <c r="I295" s="494">
        <v>2060.7</v>
      </c>
      <c r="J295" s="494">
        <v>771.6</v>
      </c>
      <c r="K295" s="494">
        <v>4990.5</v>
      </c>
      <c r="L295" s="495"/>
      <c r="M295" s="492">
        <v>44075</v>
      </c>
      <c r="N295" s="496">
        <v>403.98</v>
      </c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</row>
    <row r="296" spans="1:27" ht="12.75">
      <c r="A296" s="492">
        <v>43739</v>
      </c>
      <c r="B296" s="493">
        <v>44204</v>
      </c>
      <c r="C296" s="494">
        <v>407.31</v>
      </c>
      <c r="D296" s="494">
        <v>1642.2</v>
      </c>
      <c r="E296" s="494">
        <v>1483.5</v>
      </c>
      <c r="F296" s="494">
        <v>1890.9</v>
      </c>
      <c r="G296" s="494">
        <v>1099.7</v>
      </c>
      <c r="H296" s="494">
        <v>3338.7</v>
      </c>
      <c r="I296" s="494">
        <v>2022.2</v>
      </c>
      <c r="J296" s="494">
        <v>773.4</v>
      </c>
      <c r="K296" s="494">
        <v>5028.5</v>
      </c>
      <c r="L296" s="495"/>
      <c r="M296" s="492">
        <v>44105</v>
      </c>
      <c r="N296" s="496">
        <v>407.31</v>
      </c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</row>
    <row r="297" spans="1:27" ht="12.75">
      <c r="A297" s="492">
        <v>43770</v>
      </c>
      <c r="B297" s="493">
        <v>44204</v>
      </c>
      <c r="C297" s="494">
        <v>407.89</v>
      </c>
      <c r="D297" s="494">
        <v>1638.6</v>
      </c>
      <c r="E297" s="494">
        <v>1487.1</v>
      </c>
      <c r="F297" s="494">
        <v>1891.1</v>
      </c>
      <c r="G297" s="494">
        <v>1075.8</v>
      </c>
      <c r="H297" s="494">
        <v>3325.3</v>
      </c>
      <c r="I297" s="494">
        <v>2059.2</v>
      </c>
      <c r="J297" s="494">
        <v>782.1</v>
      </c>
      <c r="K297" s="494">
        <v>4650.4</v>
      </c>
      <c r="L297" s="495"/>
      <c r="M297" s="492">
        <v>44136</v>
      </c>
      <c r="N297" s="496">
        <v>407.89</v>
      </c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</row>
    <row r="298" spans="1:27" ht="12.75">
      <c r="A298" s="490">
        <v>43800</v>
      </c>
      <c r="B298" s="497">
        <v>44204</v>
      </c>
      <c r="C298" s="498">
        <v>407.64</v>
      </c>
      <c r="D298" s="498">
        <v>1643.6</v>
      </c>
      <c r="E298" s="498">
        <v>1485.1</v>
      </c>
      <c r="F298" s="498">
        <v>1891.8</v>
      </c>
      <c r="G298" s="498">
        <v>1076.1</v>
      </c>
      <c r="H298" s="498">
        <v>3316.9</v>
      </c>
      <c r="I298" s="498">
        <v>2124.4</v>
      </c>
      <c r="J298" s="498">
        <v>785.1</v>
      </c>
      <c r="K298" s="498">
        <v>4487.4</v>
      </c>
      <c r="L298" s="495"/>
      <c r="M298" s="499">
        <v>44166</v>
      </c>
      <c r="N298" s="498">
        <v>407.64</v>
      </c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</row>
    <row r="299" spans="1:27" ht="12.75">
      <c r="A299" s="492">
        <v>43831</v>
      </c>
      <c r="B299" s="493">
        <v>44204</v>
      </c>
      <c r="C299" s="494">
        <v>406.31</v>
      </c>
      <c r="D299" s="494">
        <v>1654.8</v>
      </c>
      <c r="E299" s="494">
        <v>1483.8</v>
      </c>
      <c r="F299" s="494">
        <v>1894.3</v>
      </c>
      <c r="G299" s="494">
        <v>1098.5</v>
      </c>
      <c r="H299" s="494">
        <v>3456.4</v>
      </c>
      <c r="I299" s="494">
        <v>2064.5</v>
      </c>
      <c r="J299" s="494">
        <v>783.7</v>
      </c>
      <c r="K299" s="494">
        <v>4713.9</v>
      </c>
      <c r="L299" s="495"/>
      <c r="M299" s="492">
        <v>44197</v>
      </c>
      <c r="N299" s="496">
        <v>404.26</v>
      </c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</row>
    <row r="300" spans="1:27" ht="12.75">
      <c r="A300" s="492">
        <v>43862</v>
      </c>
      <c r="B300" s="493">
        <v>44204</v>
      </c>
      <c r="C300" s="494">
        <v>406.31</v>
      </c>
      <c r="D300" s="494">
        <v>1667.7</v>
      </c>
      <c r="E300" s="494">
        <v>1493.5</v>
      </c>
      <c r="F300" s="494">
        <v>1895</v>
      </c>
      <c r="G300" s="494">
        <v>1095.3</v>
      </c>
      <c r="H300" s="494">
        <v>3352.4</v>
      </c>
      <c r="I300" s="494">
        <v>1996.4</v>
      </c>
      <c r="J300" s="494">
        <v>767.6</v>
      </c>
      <c r="K300" s="494">
        <v>5306.9</v>
      </c>
      <c r="L300" s="495"/>
      <c r="M300" s="492">
        <v>44228</v>
      </c>
      <c r="N300" s="496">
        <v>403.86</v>
      </c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</row>
    <row r="301" spans="1:27" ht="12.75">
      <c r="A301" s="492">
        <v>43891</v>
      </c>
      <c r="B301" s="493">
        <v>44204</v>
      </c>
      <c r="C301" s="494">
        <v>406.31</v>
      </c>
      <c r="D301" s="494">
        <v>1663.7</v>
      </c>
      <c r="E301" s="494">
        <v>1506</v>
      </c>
      <c r="F301" s="494">
        <v>1900.2</v>
      </c>
      <c r="G301" s="494">
        <v>1092.9</v>
      </c>
      <c r="H301" s="494">
        <v>3142.6</v>
      </c>
      <c r="I301" s="494">
        <v>1808.5</v>
      </c>
      <c r="J301" s="494">
        <v>759</v>
      </c>
      <c r="K301" s="494">
        <v>5223.4</v>
      </c>
      <c r="L301" s="495"/>
      <c r="M301" s="492">
        <v>44256</v>
      </c>
      <c r="N301" s="496">
        <v>402.54</v>
      </c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</row>
    <row r="302" spans="1:27" ht="12.75">
      <c r="A302" s="492">
        <v>43922</v>
      </c>
      <c r="B302" s="493">
        <v>44204</v>
      </c>
      <c r="C302" s="494">
        <v>406.31</v>
      </c>
      <c r="D302" s="494">
        <v>1661.3</v>
      </c>
      <c r="E302" s="494">
        <v>1506.2</v>
      </c>
      <c r="F302" s="494">
        <v>1897.6</v>
      </c>
      <c r="G302" s="494">
        <v>1083.2</v>
      </c>
      <c r="H302" s="494">
        <v>2738.9</v>
      </c>
      <c r="I302" s="494">
        <v>1852.8</v>
      </c>
      <c r="J302" s="494">
        <v>752.6</v>
      </c>
      <c r="K302" s="494">
        <v>4354.7</v>
      </c>
      <c r="L302" s="495"/>
      <c r="M302" s="492">
        <v>44287</v>
      </c>
      <c r="N302" s="496">
        <v>403.57</v>
      </c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</row>
    <row r="303" spans="1:27" ht="12.75">
      <c r="A303" s="492">
        <v>43952</v>
      </c>
      <c r="B303" s="493">
        <v>44204</v>
      </c>
      <c r="C303" s="494">
        <v>406.31</v>
      </c>
      <c r="D303" s="494">
        <v>1656.8</v>
      </c>
      <c r="E303" s="494">
        <v>1509.9</v>
      </c>
      <c r="F303" s="494">
        <v>1897.4</v>
      </c>
      <c r="G303" s="494">
        <v>1063.4</v>
      </c>
      <c r="H303" s="494">
        <v>2689.1</v>
      </c>
      <c r="I303" s="494">
        <v>1871.5</v>
      </c>
      <c r="J303" s="494">
        <v>732.8</v>
      </c>
      <c r="K303" s="494">
        <v>3634.1</v>
      </c>
      <c r="L303" s="495"/>
      <c r="M303" s="492">
        <v>44317</v>
      </c>
      <c r="N303" s="496">
        <v>403.56</v>
      </c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</row>
    <row r="304" spans="1:27" ht="12.75">
      <c r="A304" s="492">
        <v>43983</v>
      </c>
      <c r="B304" s="493">
        <v>44204</v>
      </c>
      <c r="C304" s="494">
        <v>405.14</v>
      </c>
      <c r="D304" s="494">
        <v>1654</v>
      </c>
      <c r="E304" s="494">
        <v>1510.6</v>
      </c>
      <c r="F304" s="494">
        <v>1898</v>
      </c>
      <c r="G304" s="494">
        <v>1052.3</v>
      </c>
      <c r="H304" s="494">
        <v>2817.9</v>
      </c>
      <c r="I304" s="494">
        <v>1977.2</v>
      </c>
      <c r="J304" s="494">
        <v>731.5</v>
      </c>
      <c r="K304" s="494">
        <v>4036.2</v>
      </c>
      <c r="L304" s="495"/>
      <c r="M304" s="492">
        <v>44348</v>
      </c>
      <c r="N304" s="496">
        <v>405.14</v>
      </c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</row>
    <row r="305" spans="1:27" ht="12.75">
      <c r="A305" s="480">
        <v>44013</v>
      </c>
      <c r="B305" s="481" t="s">
        <v>173</v>
      </c>
      <c r="C305" s="477">
        <f aca="true" t="shared" si="7" ref="C305:C312">+C304</f>
        <v>405.14</v>
      </c>
      <c r="D305" s="477">
        <f aca="true" t="shared" si="8" ref="D305:K312">+D304</f>
        <v>1654</v>
      </c>
      <c r="E305" s="477">
        <f t="shared" si="8"/>
        <v>1510.6</v>
      </c>
      <c r="F305" s="477">
        <f t="shared" si="8"/>
        <v>1898</v>
      </c>
      <c r="G305" s="477">
        <f t="shared" si="8"/>
        <v>1052.3</v>
      </c>
      <c r="H305" s="477">
        <f t="shared" si="8"/>
        <v>2817.9</v>
      </c>
      <c r="I305" s="477">
        <f t="shared" si="8"/>
        <v>1977.2</v>
      </c>
      <c r="J305" s="477">
        <f t="shared" si="8"/>
        <v>731.5</v>
      </c>
      <c r="K305" s="477">
        <f t="shared" si="8"/>
        <v>4036.2</v>
      </c>
      <c r="L305" s="484"/>
      <c r="M305" s="480">
        <v>44013</v>
      </c>
      <c r="N305" s="478">
        <f aca="true" t="shared" si="9" ref="N305:N312">+N304</f>
        <v>405.14</v>
      </c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</row>
    <row r="306" spans="1:27" ht="12.75">
      <c r="A306" s="480">
        <v>44044</v>
      </c>
      <c r="B306" s="481" t="s">
        <v>173</v>
      </c>
      <c r="C306" s="477">
        <f t="shared" si="7"/>
        <v>405.14</v>
      </c>
      <c r="D306" s="477">
        <f t="shared" si="8"/>
        <v>1654</v>
      </c>
      <c r="E306" s="477">
        <f t="shared" si="8"/>
        <v>1510.6</v>
      </c>
      <c r="F306" s="477">
        <f t="shared" si="8"/>
        <v>1898</v>
      </c>
      <c r="G306" s="477">
        <f t="shared" si="8"/>
        <v>1052.3</v>
      </c>
      <c r="H306" s="477">
        <f t="shared" si="8"/>
        <v>2817.9</v>
      </c>
      <c r="I306" s="477">
        <f t="shared" si="8"/>
        <v>1977.2</v>
      </c>
      <c r="J306" s="477">
        <f t="shared" si="8"/>
        <v>731.5</v>
      </c>
      <c r="K306" s="477">
        <f t="shared" si="8"/>
        <v>4036.2</v>
      </c>
      <c r="L306" s="484"/>
      <c r="M306" s="480">
        <v>44044</v>
      </c>
      <c r="N306" s="478">
        <f t="shared" si="9"/>
        <v>405.14</v>
      </c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</row>
    <row r="307" spans="1:27" ht="12.75">
      <c r="A307" s="480">
        <v>44075</v>
      </c>
      <c r="B307" s="481" t="s">
        <v>173</v>
      </c>
      <c r="C307" s="477">
        <f t="shared" si="7"/>
        <v>405.14</v>
      </c>
      <c r="D307" s="477">
        <f t="shared" si="8"/>
        <v>1654</v>
      </c>
      <c r="E307" s="477">
        <f t="shared" si="8"/>
        <v>1510.6</v>
      </c>
      <c r="F307" s="477">
        <f t="shared" si="8"/>
        <v>1898</v>
      </c>
      <c r="G307" s="477">
        <f t="shared" si="8"/>
        <v>1052.3</v>
      </c>
      <c r="H307" s="477">
        <f t="shared" si="8"/>
        <v>2817.9</v>
      </c>
      <c r="I307" s="477">
        <f t="shared" si="8"/>
        <v>1977.2</v>
      </c>
      <c r="J307" s="477">
        <f t="shared" si="8"/>
        <v>731.5</v>
      </c>
      <c r="K307" s="477">
        <f t="shared" si="8"/>
        <v>4036.2</v>
      </c>
      <c r="L307" s="484"/>
      <c r="M307" s="480">
        <v>44075</v>
      </c>
      <c r="N307" s="478">
        <f t="shared" si="9"/>
        <v>405.14</v>
      </c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</row>
    <row r="308" spans="1:27" ht="12.75">
      <c r="A308" s="480">
        <v>44105</v>
      </c>
      <c r="B308" s="481" t="s">
        <v>173</v>
      </c>
      <c r="C308" s="477">
        <f t="shared" si="7"/>
        <v>405.14</v>
      </c>
      <c r="D308" s="477">
        <f t="shared" si="8"/>
        <v>1654</v>
      </c>
      <c r="E308" s="477">
        <f t="shared" si="8"/>
        <v>1510.6</v>
      </c>
      <c r="F308" s="477">
        <f t="shared" si="8"/>
        <v>1898</v>
      </c>
      <c r="G308" s="477">
        <f t="shared" si="8"/>
        <v>1052.3</v>
      </c>
      <c r="H308" s="477">
        <f t="shared" si="8"/>
        <v>2817.9</v>
      </c>
      <c r="I308" s="477">
        <f t="shared" si="8"/>
        <v>1977.2</v>
      </c>
      <c r="J308" s="477">
        <f t="shared" si="8"/>
        <v>731.5</v>
      </c>
      <c r="K308" s="477">
        <f t="shared" si="8"/>
        <v>4036.2</v>
      </c>
      <c r="L308" s="484"/>
      <c r="M308" s="480">
        <v>44105</v>
      </c>
      <c r="N308" s="478">
        <f t="shared" si="9"/>
        <v>405.14</v>
      </c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</row>
    <row r="309" spans="1:27" ht="12.75">
      <c r="A309" s="480">
        <v>44136</v>
      </c>
      <c r="B309" s="481" t="s">
        <v>173</v>
      </c>
      <c r="C309" s="477">
        <f t="shared" si="7"/>
        <v>405.14</v>
      </c>
      <c r="D309" s="477">
        <f t="shared" si="8"/>
        <v>1654</v>
      </c>
      <c r="E309" s="477">
        <f t="shared" si="8"/>
        <v>1510.6</v>
      </c>
      <c r="F309" s="477">
        <f t="shared" si="8"/>
        <v>1898</v>
      </c>
      <c r="G309" s="477">
        <f t="shared" si="8"/>
        <v>1052.3</v>
      </c>
      <c r="H309" s="477">
        <f t="shared" si="8"/>
        <v>2817.9</v>
      </c>
      <c r="I309" s="477">
        <f t="shared" si="8"/>
        <v>1977.2</v>
      </c>
      <c r="J309" s="477">
        <f t="shared" si="8"/>
        <v>731.5</v>
      </c>
      <c r="K309" s="477">
        <f t="shared" si="8"/>
        <v>4036.2</v>
      </c>
      <c r="L309" s="484"/>
      <c r="M309" s="480">
        <v>44136</v>
      </c>
      <c r="N309" s="478">
        <f t="shared" si="9"/>
        <v>405.14</v>
      </c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</row>
    <row r="310" spans="1:27" ht="12.75">
      <c r="A310" s="486">
        <v>44166</v>
      </c>
      <c r="B310" s="483" t="s">
        <v>173</v>
      </c>
      <c r="C310" s="479">
        <f t="shared" si="7"/>
        <v>405.14</v>
      </c>
      <c r="D310" s="479">
        <f t="shared" si="8"/>
        <v>1654</v>
      </c>
      <c r="E310" s="479">
        <f t="shared" si="8"/>
        <v>1510.6</v>
      </c>
      <c r="F310" s="479">
        <f t="shared" si="8"/>
        <v>1898</v>
      </c>
      <c r="G310" s="479">
        <f t="shared" si="8"/>
        <v>1052.3</v>
      </c>
      <c r="H310" s="479">
        <f t="shared" si="8"/>
        <v>2817.9</v>
      </c>
      <c r="I310" s="479">
        <f t="shared" si="8"/>
        <v>1977.2</v>
      </c>
      <c r="J310" s="479">
        <f t="shared" si="8"/>
        <v>731.5</v>
      </c>
      <c r="K310" s="479">
        <f>+K309</f>
        <v>4036.2</v>
      </c>
      <c r="L310" s="484"/>
      <c r="M310" s="482">
        <v>44166</v>
      </c>
      <c r="N310" s="479">
        <f t="shared" si="9"/>
        <v>405.14</v>
      </c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</row>
    <row r="311" spans="1:27" ht="12.75">
      <c r="A311" s="480">
        <v>44197</v>
      </c>
      <c r="B311" s="481" t="s">
        <v>173</v>
      </c>
      <c r="C311" s="477">
        <f t="shared" si="7"/>
        <v>405.14</v>
      </c>
      <c r="D311" s="477">
        <f t="shared" si="8"/>
        <v>1654</v>
      </c>
      <c r="E311" s="477">
        <f t="shared" si="8"/>
        <v>1510.6</v>
      </c>
      <c r="F311" s="477">
        <f t="shared" si="8"/>
        <v>1898</v>
      </c>
      <c r="G311" s="477">
        <f t="shared" si="8"/>
        <v>1052.3</v>
      </c>
      <c r="H311" s="477">
        <f t="shared" si="8"/>
        <v>2817.9</v>
      </c>
      <c r="I311" s="477">
        <f t="shared" si="8"/>
        <v>1977.2</v>
      </c>
      <c r="J311" s="477">
        <f t="shared" si="8"/>
        <v>731.5</v>
      </c>
      <c r="K311" s="477">
        <f>+K310</f>
        <v>4036.2</v>
      </c>
      <c r="L311" s="484"/>
      <c r="M311" s="480">
        <v>44197</v>
      </c>
      <c r="N311" s="478">
        <f t="shared" si="9"/>
        <v>405.14</v>
      </c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</row>
    <row r="312" spans="1:27" ht="12.75">
      <c r="A312" s="480">
        <v>44228</v>
      </c>
      <c r="B312" s="481" t="s">
        <v>173</v>
      </c>
      <c r="C312" s="477">
        <f t="shared" si="7"/>
        <v>405.14</v>
      </c>
      <c r="D312" s="477">
        <f t="shared" si="8"/>
        <v>1654</v>
      </c>
      <c r="E312" s="477">
        <f t="shared" si="8"/>
        <v>1510.6</v>
      </c>
      <c r="F312" s="477">
        <f t="shared" si="8"/>
        <v>1898</v>
      </c>
      <c r="G312" s="477">
        <f t="shared" si="8"/>
        <v>1052.3</v>
      </c>
      <c r="H312" s="477">
        <f t="shared" si="8"/>
        <v>2817.9</v>
      </c>
      <c r="I312" s="477">
        <f t="shared" si="8"/>
        <v>1977.2</v>
      </c>
      <c r="J312" s="477">
        <f t="shared" si="8"/>
        <v>731.5</v>
      </c>
      <c r="K312" s="477">
        <f>+K311</f>
        <v>4036.2</v>
      </c>
      <c r="L312" s="484"/>
      <c r="M312" s="480">
        <v>44228</v>
      </c>
      <c r="N312" s="478">
        <f t="shared" si="9"/>
        <v>405.14</v>
      </c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</row>
    <row r="313" spans="1:27" ht="12.75">
      <c r="A313" s="480">
        <v>44256</v>
      </c>
      <c r="B313" s="481" t="s">
        <v>173</v>
      </c>
      <c r="C313" s="477">
        <f aca="true" t="shared" si="10" ref="C313:C321">+C312</f>
        <v>405.14</v>
      </c>
      <c r="D313" s="477">
        <f aca="true" t="shared" si="11" ref="D313:D321">+D312</f>
        <v>1654</v>
      </c>
      <c r="E313" s="477">
        <f aca="true" t="shared" si="12" ref="E313:E321">+E312</f>
        <v>1510.6</v>
      </c>
      <c r="F313" s="477">
        <f aca="true" t="shared" si="13" ref="F313:F321">+F312</f>
        <v>1898</v>
      </c>
      <c r="G313" s="477">
        <f aca="true" t="shared" si="14" ref="G313:G321">+G312</f>
        <v>1052.3</v>
      </c>
      <c r="H313" s="477">
        <f aca="true" t="shared" si="15" ref="H313:H321">+H312</f>
        <v>2817.9</v>
      </c>
      <c r="I313" s="477">
        <f aca="true" t="shared" si="16" ref="I313:I321">+I312</f>
        <v>1977.2</v>
      </c>
      <c r="J313" s="477">
        <f aca="true" t="shared" si="17" ref="J313:J321">+J312</f>
        <v>731.5</v>
      </c>
      <c r="K313" s="477">
        <f aca="true" t="shared" si="18" ref="K313:K321">+K312</f>
        <v>4036.2</v>
      </c>
      <c r="L313" s="484"/>
      <c r="M313" s="480">
        <v>44256</v>
      </c>
      <c r="N313" s="478">
        <f aca="true" t="shared" si="19" ref="N313:N321">+N312</f>
        <v>405.14</v>
      </c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</row>
    <row r="314" spans="1:27" ht="12.75">
      <c r="A314" s="480">
        <v>44287</v>
      </c>
      <c r="B314" s="481" t="s">
        <v>173</v>
      </c>
      <c r="C314" s="477">
        <f t="shared" si="10"/>
        <v>405.14</v>
      </c>
      <c r="D314" s="477">
        <f t="shared" si="11"/>
        <v>1654</v>
      </c>
      <c r="E314" s="477">
        <f t="shared" si="12"/>
        <v>1510.6</v>
      </c>
      <c r="F314" s="477">
        <f t="shared" si="13"/>
        <v>1898</v>
      </c>
      <c r="G314" s="477">
        <f t="shared" si="14"/>
        <v>1052.3</v>
      </c>
      <c r="H314" s="477">
        <f t="shared" si="15"/>
        <v>2817.9</v>
      </c>
      <c r="I314" s="477">
        <f t="shared" si="16"/>
        <v>1977.2</v>
      </c>
      <c r="J314" s="477">
        <f t="shared" si="17"/>
        <v>731.5</v>
      </c>
      <c r="K314" s="477">
        <f t="shared" si="18"/>
        <v>4036.2</v>
      </c>
      <c r="L314" s="484"/>
      <c r="M314" s="480">
        <v>44287</v>
      </c>
      <c r="N314" s="478">
        <f t="shared" si="19"/>
        <v>405.14</v>
      </c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</row>
    <row r="315" spans="1:27" ht="12.75">
      <c r="A315" s="480">
        <v>44317</v>
      </c>
      <c r="B315" s="481" t="s">
        <v>173</v>
      </c>
      <c r="C315" s="477">
        <f t="shared" si="10"/>
        <v>405.14</v>
      </c>
      <c r="D315" s="477">
        <f t="shared" si="11"/>
        <v>1654</v>
      </c>
      <c r="E315" s="477">
        <f t="shared" si="12"/>
        <v>1510.6</v>
      </c>
      <c r="F315" s="477">
        <f t="shared" si="13"/>
        <v>1898</v>
      </c>
      <c r="G315" s="477">
        <f t="shared" si="14"/>
        <v>1052.3</v>
      </c>
      <c r="H315" s="477">
        <f t="shared" si="15"/>
        <v>2817.9</v>
      </c>
      <c r="I315" s="477">
        <f t="shared" si="16"/>
        <v>1977.2</v>
      </c>
      <c r="J315" s="477">
        <f t="shared" si="17"/>
        <v>731.5</v>
      </c>
      <c r="K315" s="477">
        <f t="shared" si="18"/>
        <v>4036.2</v>
      </c>
      <c r="L315" s="484"/>
      <c r="M315" s="480">
        <v>44317</v>
      </c>
      <c r="N315" s="478">
        <f t="shared" si="19"/>
        <v>405.14</v>
      </c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</row>
    <row r="316" spans="1:27" ht="12.75">
      <c r="A316" s="480">
        <v>44348</v>
      </c>
      <c r="B316" s="481" t="s">
        <v>173</v>
      </c>
      <c r="C316" s="477">
        <f t="shared" si="10"/>
        <v>405.14</v>
      </c>
      <c r="D316" s="477">
        <f t="shared" si="11"/>
        <v>1654</v>
      </c>
      <c r="E316" s="477">
        <f t="shared" si="12"/>
        <v>1510.6</v>
      </c>
      <c r="F316" s="477">
        <f t="shared" si="13"/>
        <v>1898</v>
      </c>
      <c r="G316" s="477">
        <f t="shared" si="14"/>
        <v>1052.3</v>
      </c>
      <c r="H316" s="477">
        <f t="shared" si="15"/>
        <v>2817.9</v>
      </c>
      <c r="I316" s="477">
        <f t="shared" si="16"/>
        <v>1977.2</v>
      </c>
      <c r="J316" s="477">
        <f t="shared" si="17"/>
        <v>731.5</v>
      </c>
      <c r="K316" s="477">
        <f t="shared" si="18"/>
        <v>4036.2</v>
      </c>
      <c r="L316" s="484"/>
      <c r="M316" s="480">
        <v>44348</v>
      </c>
      <c r="N316" s="478">
        <f t="shared" si="19"/>
        <v>405.14</v>
      </c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</row>
    <row r="317" spans="1:27" ht="12.75">
      <c r="A317" s="480">
        <v>44378</v>
      </c>
      <c r="B317" s="481" t="s">
        <v>173</v>
      </c>
      <c r="C317" s="477">
        <f t="shared" si="10"/>
        <v>405.14</v>
      </c>
      <c r="D317" s="477">
        <f t="shared" si="11"/>
        <v>1654</v>
      </c>
      <c r="E317" s="477">
        <f t="shared" si="12"/>
        <v>1510.6</v>
      </c>
      <c r="F317" s="477">
        <f t="shared" si="13"/>
        <v>1898</v>
      </c>
      <c r="G317" s="477">
        <f t="shared" si="14"/>
        <v>1052.3</v>
      </c>
      <c r="H317" s="477">
        <f t="shared" si="15"/>
        <v>2817.9</v>
      </c>
      <c r="I317" s="477">
        <f t="shared" si="16"/>
        <v>1977.2</v>
      </c>
      <c r="J317" s="477">
        <f t="shared" si="17"/>
        <v>731.5</v>
      </c>
      <c r="K317" s="477">
        <f t="shared" si="18"/>
        <v>4036.2</v>
      </c>
      <c r="L317" s="484"/>
      <c r="M317" s="480">
        <v>44378</v>
      </c>
      <c r="N317" s="478">
        <f t="shared" si="19"/>
        <v>405.14</v>
      </c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</row>
    <row r="318" spans="1:27" ht="12.75">
      <c r="A318" s="480">
        <v>44409</v>
      </c>
      <c r="B318" s="481" t="s">
        <v>173</v>
      </c>
      <c r="C318" s="477">
        <f t="shared" si="10"/>
        <v>405.14</v>
      </c>
      <c r="D318" s="477">
        <f t="shared" si="11"/>
        <v>1654</v>
      </c>
      <c r="E318" s="477">
        <f t="shared" si="12"/>
        <v>1510.6</v>
      </c>
      <c r="F318" s="477">
        <f t="shared" si="13"/>
        <v>1898</v>
      </c>
      <c r="G318" s="477">
        <f t="shared" si="14"/>
        <v>1052.3</v>
      </c>
      <c r="H318" s="477">
        <f t="shared" si="15"/>
        <v>2817.9</v>
      </c>
      <c r="I318" s="477">
        <f t="shared" si="16"/>
        <v>1977.2</v>
      </c>
      <c r="J318" s="477">
        <f t="shared" si="17"/>
        <v>731.5</v>
      </c>
      <c r="K318" s="477">
        <f t="shared" si="18"/>
        <v>4036.2</v>
      </c>
      <c r="L318" s="484"/>
      <c r="M318" s="480">
        <v>44409</v>
      </c>
      <c r="N318" s="478">
        <f t="shared" si="19"/>
        <v>405.14</v>
      </c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</row>
    <row r="319" spans="1:27" ht="12.75">
      <c r="A319" s="480">
        <v>44440</v>
      </c>
      <c r="B319" s="481" t="s">
        <v>173</v>
      </c>
      <c r="C319" s="477">
        <f t="shared" si="10"/>
        <v>405.14</v>
      </c>
      <c r="D319" s="477">
        <f t="shared" si="11"/>
        <v>1654</v>
      </c>
      <c r="E319" s="477">
        <f t="shared" si="12"/>
        <v>1510.6</v>
      </c>
      <c r="F319" s="477">
        <f t="shared" si="13"/>
        <v>1898</v>
      </c>
      <c r="G319" s="477">
        <f t="shared" si="14"/>
        <v>1052.3</v>
      </c>
      <c r="H319" s="477">
        <f t="shared" si="15"/>
        <v>2817.9</v>
      </c>
      <c r="I319" s="477">
        <f t="shared" si="16"/>
        <v>1977.2</v>
      </c>
      <c r="J319" s="477">
        <f t="shared" si="17"/>
        <v>731.5</v>
      </c>
      <c r="K319" s="477">
        <f t="shared" si="18"/>
        <v>4036.2</v>
      </c>
      <c r="L319" s="484"/>
      <c r="M319" s="480">
        <v>44440</v>
      </c>
      <c r="N319" s="478">
        <f t="shared" si="19"/>
        <v>405.14</v>
      </c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59"/>
    </row>
    <row r="320" spans="1:27" ht="12.75">
      <c r="A320" s="480">
        <v>44470</v>
      </c>
      <c r="B320" s="481" t="s">
        <v>173</v>
      </c>
      <c r="C320" s="477">
        <f t="shared" si="10"/>
        <v>405.14</v>
      </c>
      <c r="D320" s="477">
        <f t="shared" si="11"/>
        <v>1654</v>
      </c>
      <c r="E320" s="477">
        <f t="shared" si="12"/>
        <v>1510.6</v>
      </c>
      <c r="F320" s="477">
        <f t="shared" si="13"/>
        <v>1898</v>
      </c>
      <c r="G320" s="477">
        <f t="shared" si="14"/>
        <v>1052.3</v>
      </c>
      <c r="H320" s="477">
        <f t="shared" si="15"/>
        <v>2817.9</v>
      </c>
      <c r="I320" s="477">
        <f t="shared" si="16"/>
        <v>1977.2</v>
      </c>
      <c r="J320" s="477">
        <f t="shared" si="17"/>
        <v>731.5</v>
      </c>
      <c r="K320" s="477">
        <f t="shared" si="18"/>
        <v>4036.2</v>
      </c>
      <c r="L320" s="484"/>
      <c r="M320" s="480">
        <v>44470</v>
      </c>
      <c r="N320" s="478">
        <f t="shared" si="19"/>
        <v>405.14</v>
      </c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</row>
    <row r="321" spans="1:27" ht="12.75">
      <c r="A321" s="480">
        <v>44501</v>
      </c>
      <c r="B321" s="481" t="s">
        <v>173</v>
      </c>
      <c r="C321" s="477">
        <f t="shared" si="10"/>
        <v>405.14</v>
      </c>
      <c r="D321" s="477">
        <f t="shared" si="11"/>
        <v>1654</v>
      </c>
      <c r="E321" s="477">
        <f t="shared" si="12"/>
        <v>1510.6</v>
      </c>
      <c r="F321" s="477">
        <f t="shared" si="13"/>
        <v>1898</v>
      </c>
      <c r="G321" s="477">
        <f t="shared" si="14"/>
        <v>1052.3</v>
      </c>
      <c r="H321" s="477">
        <f t="shared" si="15"/>
        <v>2817.9</v>
      </c>
      <c r="I321" s="477">
        <f t="shared" si="16"/>
        <v>1977.2</v>
      </c>
      <c r="J321" s="477">
        <f t="shared" si="17"/>
        <v>731.5</v>
      </c>
      <c r="K321" s="477">
        <f t="shared" si="18"/>
        <v>4036.2</v>
      </c>
      <c r="L321" s="484"/>
      <c r="M321" s="480">
        <v>44501</v>
      </c>
      <c r="N321" s="478">
        <f t="shared" si="19"/>
        <v>405.14</v>
      </c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</row>
    <row r="322" spans="1:27" ht="12.75">
      <c r="A322" s="486">
        <v>44531</v>
      </c>
      <c r="B322" s="483" t="s">
        <v>173</v>
      </c>
      <c r="C322" s="479">
        <f>IF($O$1=4,$C$157,N322)</f>
        <v>405.14</v>
      </c>
      <c r="D322" s="479">
        <f aca="true" t="shared" si="20" ref="D322:K322">D321</f>
        <v>1654</v>
      </c>
      <c r="E322" s="479">
        <f t="shared" si="20"/>
        <v>1510.6</v>
      </c>
      <c r="F322" s="479">
        <f t="shared" si="20"/>
        <v>1898</v>
      </c>
      <c r="G322" s="479">
        <f t="shared" si="20"/>
        <v>1052.3</v>
      </c>
      <c r="H322" s="479">
        <f t="shared" si="20"/>
        <v>2817.9</v>
      </c>
      <c r="I322" s="479">
        <f t="shared" si="20"/>
        <v>1977.2</v>
      </c>
      <c r="J322" s="479">
        <f t="shared" si="20"/>
        <v>731.5</v>
      </c>
      <c r="K322" s="479">
        <f t="shared" si="20"/>
        <v>4036.2</v>
      </c>
      <c r="L322" s="484"/>
      <c r="M322" s="482">
        <v>44531</v>
      </c>
      <c r="N322" s="479">
        <f>N321</f>
        <v>405.14</v>
      </c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</row>
    <row r="323" spans="1:27" ht="12.75">
      <c r="A323" s="159"/>
      <c r="B323" s="159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</row>
    <row r="324" spans="1:27" ht="12.75">
      <c r="A324" s="159"/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</row>
  </sheetData>
  <sheetProtection/>
  <mergeCells count="7">
    <mergeCell ref="P222:T226"/>
    <mergeCell ref="D1:F1"/>
    <mergeCell ref="D2:G2"/>
    <mergeCell ref="A7:K7"/>
    <mergeCell ref="D4:F4"/>
    <mergeCell ref="D3:F3"/>
    <mergeCell ref="A8:N8"/>
  </mergeCells>
  <hyperlinks>
    <hyperlink ref="H8" r:id="rId1" display="AQUI (requiere conexión a internet)"/>
  </hyperlinks>
  <printOptions/>
  <pageMargins left="0.7874015748031497" right="0.3937007874015748" top="0.35433070866141736" bottom="0.3937007874015748" header="0.35433070866141736" footer="0"/>
  <pageSetup blackAndWhite="1" horizontalDpi="360" verticalDpi="360" orientation="portrait" paperSize="9" scale="63" r:id="rId5"/>
  <headerFooter alignWithMargins="0">
    <oddHeader>&amp;L&amp;F&amp;RREVIPRE 2.10</oddHeader>
    <oddFooter>&amp;R&amp;8&amp;P DE &amp;N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AA101"/>
  <sheetViews>
    <sheetView zoomScale="70" zoomScaleNormal="70" zoomScalePageLayoutView="0" workbookViewId="0" topLeftCell="A1">
      <selection activeCell="A12" sqref="A12:H12"/>
    </sheetView>
  </sheetViews>
  <sheetFormatPr defaultColWidth="11.421875" defaultRowHeight="12.75"/>
  <cols>
    <col min="1" max="1" width="15.8515625" style="0" customWidth="1"/>
    <col min="2" max="2" width="17.140625" style="0" customWidth="1"/>
    <col min="3" max="6" width="18.7109375" style="0" customWidth="1"/>
    <col min="7" max="7" width="19.421875" style="0" customWidth="1"/>
    <col min="8" max="8" width="18.7109375" style="0" customWidth="1"/>
    <col min="12" max="12" width="13.57421875" style="0" bestFit="1" customWidth="1"/>
  </cols>
  <sheetData>
    <row r="1" spans="1:27" ht="21.75" customHeight="1">
      <c r="A1" s="72"/>
      <c r="B1" s="72"/>
      <c r="C1" s="649" t="s">
        <v>292</v>
      </c>
      <c r="D1" s="649"/>
      <c r="E1" s="649"/>
      <c r="F1" s="649"/>
      <c r="G1" s="649"/>
      <c r="H1" s="15"/>
      <c r="I1" s="159" t="s">
        <v>318</v>
      </c>
      <c r="J1" s="159" t="s">
        <v>318</v>
      </c>
      <c r="K1" s="159" t="s">
        <v>318</v>
      </c>
      <c r="L1" s="159" t="s">
        <v>318</v>
      </c>
      <c r="M1" s="159" t="s">
        <v>318</v>
      </c>
      <c r="N1" s="159" t="s">
        <v>318</v>
      </c>
      <c r="O1" s="159" t="s">
        <v>318</v>
      </c>
      <c r="P1" s="159" t="s">
        <v>318</v>
      </c>
      <c r="Q1" s="159" t="s">
        <v>318</v>
      </c>
      <c r="R1" s="159" t="s">
        <v>318</v>
      </c>
      <c r="S1" s="159" t="s">
        <v>318</v>
      </c>
      <c r="T1" s="159" t="s">
        <v>318</v>
      </c>
      <c r="U1" s="159" t="s">
        <v>318</v>
      </c>
      <c r="V1" s="159" t="s">
        <v>318</v>
      </c>
      <c r="W1" s="159" t="s">
        <v>318</v>
      </c>
      <c r="X1" s="159" t="s">
        <v>318</v>
      </c>
      <c r="Y1" s="159" t="s">
        <v>318</v>
      </c>
      <c r="Z1" s="159" t="s">
        <v>318</v>
      </c>
      <c r="AA1" s="159" t="s">
        <v>318</v>
      </c>
    </row>
    <row r="2" spans="1:27" ht="12.75" customHeight="1">
      <c r="A2" s="72"/>
      <c r="B2" s="72"/>
      <c r="C2" s="650" t="s">
        <v>291</v>
      </c>
      <c r="D2" s="650"/>
      <c r="E2" s="650"/>
      <c r="F2" s="650"/>
      <c r="G2" s="650"/>
      <c r="H2" s="15"/>
      <c r="I2" s="159" t="s">
        <v>318</v>
      </c>
      <c r="J2" s="159" t="s">
        <v>318</v>
      </c>
      <c r="K2" s="159" t="s">
        <v>318</v>
      </c>
      <c r="L2" s="159" t="s">
        <v>318</v>
      </c>
      <c r="M2" s="159" t="s">
        <v>318</v>
      </c>
      <c r="N2" s="159" t="s">
        <v>318</v>
      </c>
      <c r="O2" s="159" t="s">
        <v>318</v>
      </c>
      <c r="P2" s="159" t="s">
        <v>318</v>
      </c>
      <c r="Q2" s="159" t="s">
        <v>318</v>
      </c>
      <c r="R2" s="159" t="s">
        <v>318</v>
      </c>
      <c r="S2" s="159" t="s">
        <v>318</v>
      </c>
      <c r="T2" s="159" t="s">
        <v>318</v>
      </c>
      <c r="U2" s="159" t="s">
        <v>318</v>
      </c>
      <c r="V2" s="159" t="s">
        <v>318</v>
      </c>
      <c r="W2" s="159" t="s">
        <v>318</v>
      </c>
      <c r="X2" s="159" t="s">
        <v>318</v>
      </c>
      <c r="Y2" s="159" t="s">
        <v>318</v>
      </c>
      <c r="Z2" s="159" t="s">
        <v>318</v>
      </c>
      <c r="AA2" s="159" t="s">
        <v>318</v>
      </c>
    </row>
    <row r="3" spans="1:27" ht="15.75" customHeight="1">
      <c r="A3" s="72"/>
      <c r="B3" s="72"/>
      <c r="C3" s="651" t="s">
        <v>193</v>
      </c>
      <c r="D3" s="651"/>
      <c r="E3" s="651"/>
      <c r="F3" s="651"/>
      <c r="G3" s="651"/>
      <c r="H3" s="15"/>
      <c r="I3" s="159" t="s">
        <v>318</v>
      </c>
      <c r="J3" s="159" t="s">
        <v>318</v>
      </c>
      <c r="K3" s="159" t="s">
        <v>318</v>
      </c>
      <c r="L3" s="159" t="s">
        <v>318</v>
      </c>
      <c r="M3" s="159" t="s">
        <v>318</v>
      </c>
      <c r="N3" s="159" t="s">
        <v>318</v>
      </c>
      <c r="O3" s="159" t="s">
        <v>318</v>
      </c>
      <c r="P3" s="159" t="s">
        <v>318</v>
      </c>
      <c r="Q3" s="159" t="s">
        <v>318</v>
      </c>
      <c r="R3" s="159" t="s">
        <v>318</v>
      </c>
      <c r="S3" s="159" t="s">
        <v>318</v>
      </c>
      <c r="T3" s="159" t="s">
        <v>318</v>
      </c>
      <c r="U3" s="159" t="s">
        <v>318</v>
      </c>
      <c r="V3" s="159" t="s">
        <v>318</v>
      </c>
      <c r="W3" s="159" t="s">
        <v>318</v>
      </c>
      <c r="X3" s="159" t="s">
        <v>318</v>
      </c>
      <c r="Y3" s="159" t="s">
        <v>318</v>
      </c>
      <c r="Z3" s="159" t="s">
        <v>318</v>
      </c>
      <c r="AA3" s="159" t="s">
        <v>318</v>
      </c>
    </row>
    <row r="4" spans="1:27" ht="18.75" customHeight="1" thickBot="1">
      <c r="A4" s="171"/>
      <c r="B4" s="171"/>
      <c r="C4" s="652" t="s">
        <v>192</v>
      </c>
      <c r="D4" s="652"/>
      <c r="E4" s="652"/>
      <c r="F4" s="652"/>
      <c r="G4" s="652"/>
      <c r="H4" s="164"/>
      <c r="I4" s="159" t="s">
        <v>318</v>
      </c>
      <c r="J4" s="159" t="s">
        <v>318</v>
      </c>
      <c r="K4" s="159" t="s">
        <v>318</v>
      </c>
      <c r="L4" s="159" t="s">
        <v>318</v>
      </c>
      <c r="M4" s="159" t="s">
        <v>318</v>
      </c>
      <c r="N4" s="159" t="s">
        <v>318</v>
      </c>
      <c r="O4" s="159" t="s">
        <v>318</v>
      </c>
      <c r="P4" s="159" t="s">
        <v>318</v>
      </c>
      <c r="Q4" s="159" t="s">
        <v>318</v>
      </c>
      <c r="R4" s="159" t="s">
        <v>318</v>
      </c>
      <c r="S4" s="159" t="s">
        <v>318</v>
      </c>
      <c r="T4" s="159" t="s">
        <v>318</v>
      </c>
      <c r="U4" s="159" t="s">
        <v>318</v>
      </c>
      <c r="V4" s="159" t="s">
        <v>318</v>
      </c>
      <c r="W4" s="159" t="s">
        <v>318</v>
      </c>
      <c r="X4" s="159" t="s">
        <v>318</v>
      </c>
      <c r="Y4" s="159" t="s">
        <v>318</v>
      </c>
      <c r="Z4" s="159" t="s">
        <v>318</v>
      </c>
      <c r="AA4" s="159" t="s">
        <v>318</v>
      </c>
    </row>
    <row r="5" spans="1:27" ht="12.75">
      <c r="A5" s="238"/>
      <c r="B5" s="238"/>
      <c r="C5" s="222"/>
      <c r="D5" s="222"/>
      <c r="E5" s="222"/>
      <c r="F5" s="222"/>
      <c r="G5" s="222"/>
      <c r="H5" s="223"/>
      <c r="I5" s="159" t="s">
        <v>318</v>
      </c>
      <c r="J5" s="159" t="s">
        <v>318</v>
      </c>
      <c r="K5" s="159" t="s">
        <v>318</v>
      </c>
      <c r="L5" s="159" t="s">
        <v>318</v>
      </c>
      <c r="M5" s="159" t="s">
        <v>318</v>
      </c>
      <c r="N5" s="159" t="s">
        <v>318</v>
      </c>
      <c r="O5" s="159" t="s">
        <v>318</v>
      </c>
      <c r="P5" s="159" t="s">
        <v>318</v>
      </c>
      <c r="Q5" s="159" t="s">
        <v>318</v>
      </c>
      <c r="R5" s="159" t="s">
        <v>318</v>
      </c>
      <c r="S5" s="159" t="s">
        <v>318</v>
      </c>
      <c r="T5" s="159" t="s">
        <v>318</v>
      </c>
      <c r="U5" s="159" t="s">
        <v>318</v>
      </c>
      <c r="V5" s="159" t="s">
        <v>318</v>
      </c>
      <c r="W5" s="159" t="s">
        <v>318</v>
      </c>
      <c r="X5" s="159" t="s">
        <v>318</v>
      </c>
      <c r="Y5" s="159" t="s">
        <v>318</v>
      </c>
      <c r="Z5" s="159" t="s">
        <v>318</v>
      </c>
      <c r="AA5" s="159" t="s">
        <v>318</v>
      </c>
    </row>
    <row r="6" spans="1:27" ht="15">
      <c r="A6" s="223"/>
      <c r="B6" s="662" t="s">
        <v>293</v>
      </c>
      <c r="C6" s="662"/>
      <c r="D6" s="662"/>
      <c r="E6" s="662" t="s">
        <v>294</v>
      </c>
      <c r="F6" s="662"/>
      <c r="G6" s="662"/>
      <c r="H6" s="223"/>
      <c r="I6" s="159" t="s">
        <v>318</v>
      </c>
      <c r="J6" s="159" t="s">
        <v>318</v>
      </c>
      <c r="K6" s="159" t="s">
        <v>318</v>
      </c>
      <c r="L6" s="159" t="s">
        <v>318</v>
      </c>
      <c r="M6" s="159" t="s">
        <v>318</v>
      </c>
      <c r="N6" s="159" t="s">
        <v>318</v>
      </c>
      <c r="O6" s="159" t="s">
        <v>318</v>
      </c>
      <c r="P6" s="159" t="s">
        <v>318</v>
      </c>
      <c r="Q6" s="159" t="s">
        <v>318</v>
      </c>
      <c r="R6" s="159" t="s">
        <v>318</v>
      </c>
      <c r="S6" s="159" t="s">
        <v>318</v>
      </c>
      <c r="T6" s="159" t="s">
        <v>318</v>
      </c>
      <c r="U6" s="159" t="s">
        <v>318</v>
      </c>
      <c r="V6" s="159" t="s">
        <v>318</v>
      </c>
      <c r="W6" s="159" t="s">
        <v>318</v>
      </c>
      <c r="X6" s="159" t="s">
        <v>318</v>
      </c>
      <c r="Y6" s="159" t="s">
        <v>318</v>
      </c>
      <c r="Z6" s="159" t="s">
        <v>318</v>
      </c>
      <c r="AA6" s="159" t="s">
        <v>318</v>
      </c>
    </row>
    <row r="7" spans="1:27" ht="20.25" customHeight="1">
      <c r="A7" s="223"/>
      <c r="B7" s="225" t="s">
        <v>70</v>
      </c>
      <c r="C7" s="226" t="s">
        <v>71</v>
      </c>
      <c r="D7" s="155"/>
      <c r="E7" s="225" t="s">
        <v>70</v>
      </c>
      <c r="F7" s="226" t="s">
        <v>71</v>
      </c>
      <c r="G7" s="157"/>
      <c r="H7" s="223"/>
      <c r="I7" s="159" t="s">
        <v>318</v>
      </c>
      <c r="J7" s="159" t="s">
        <v>318</v>
      </c>
      <c r="K7" s="159" t="s">
        <v>318</v>
      </c>
      <c r="L7" s="159" t="s">
        <v>318</v>
      </c>
      <c r="M7" s="159" t="s">
        <v>318</v>
      </c>
      <c r="N7" s="159" t="s">
        <v>318</v>
      </c>
      <c r="O7" s="159" t="s">
        <v>318</v>
      </c>
      <c r="P7" s="159" t="s">
        <v>318</v>
      </c>
      <c r="Q7" s="159" t="s">
        <v>318</v>
      </c>
      <c r="R7" s="159" t="s">
        <v>318</v>
      </c>
      <c r="S7" s="159" t="s">
        <v>318</v>
      </c>
      <c r="T7" s="159" t="s">
        <v>318</v>
      </c>
      <c r="U7" s="159" t="s">
        <v>318</v>
      </c>
      <c r="V7" s="159" t="s">
        <v>318</v>
      </c>
      <c r="W7" s="159" t="s">
        <v>318</v>
      </c>
      <c r="X7" s="159" t="s">
        <v>318</v>
      </c>
      <c r="Y7" s="159" t="s">
        <v>318</v>
      </c>
      <c r="Z7" s="159" t="s">
        <v>318</v>
      </c>
      <c r="AA7" s="159" t="s">
        <v>318</v>
      </c>
    </row>
    <row r="8" spans="1:27" ht="7.5" customHeight="1">
      <c r="A8" s="223"/>
      <c r="B8" s="223"/>
      <c r="C8" s="224"/>
      <c r="D8" s="224"/>
      <c r="E8" s="224"/>
      <c r="F8" s="224"/>
      <c r="G8" s="224"/>
      <c r="H8" s="223"/>
      <c r="I8" s="159" t="s">
        <v>318</v>
      </c>
      <c r="J8" s="159" t="s">
        <v>318</v>
      </c>
      <c r="K8" s="159" t="s">
        <v>318</v>
      </c>
      <c r="L8" s="159" t="s">
        <v>318</v>
      </c>
      <c r="M8" s="159" t="s">
        <v>318</v>
      </c>
      <c r="N8" s="159" t="s">
        <v>318</v>
      </c>
      <c r="O8" s="159" t="s">
        <v>318</v>
      </c>
      <c r="P8" s="159" t="s">
        <v>318</v>
      </c>
      <c r="Q8" s="159" t="s">
        <v>318</v>
      </c>
      <c r="R8" s="159" t="s">
        <v>318</v>
      </c>
      <c r="S8" s="159" t="s">
        <v>318</v>
      </c>
      <c r="T8" s="159" t="s">
        <v>318</v>
      </c>
      <c r="U8" s="159" t="s">
        <v>318</v>
      </c>
      <c r="V8" s="159" t="s">
        <v>318</v>
      </c>
      <c r="W8" s="159" t="s">
        <v>318</v>
      </c>
      <c r="X8" s="159" t="s">
        <v>318</v>
      </c>
      <c r="Y8" s="159" t="s">
        <v>318</v>
      </c>
      <c r="Z8" s="159" t="s">
        <v>318</v>
      </c>
      <c r="AA8" s="159" t="s">
        <v>318</v>
      </c>
    </row>
    <row r="9" spans="1:27" ht="12.75">
      <c r="A9" s="223"/>
      <c r="B9" s="156"/>
      <c r="C9" s="156"/>
      <c r="D9" s="156"/>
      <c r="E9" s="223"/>
      <c r="F9" s="156"/>
      <c r="G9" s="223"/>
      <c r="H9" s="223"/>
      <c r="I9" s="159" t="s">
        <v>318</v>
      </c>
      <c r="J9" s="159" t="s">
        <v>318</v>
      </c>
      <c r="K9" s="159" t="s">
        <v>318</v>
      </c>
      <c r="L9" s="159" t="s">
        <v>318</v>
      </c>
      <c r="M9" s="159" t="s">
        <v>318</v>
      </c>
      <c r="N9" s="159" t="s">
        <v>318</v>
      </c>
      <c r="O9" s="159" t="s">
        <v>318</v>
      </c>
      <c r="P9" s="159" t="s">
        <v>318</v>
      </c>
      <c r="Q9" s="159" t="s">
        <v>318</v>
      </c>
      <c r="R9" s="159" t="s">
        <v>318</v>
      </c>
      <c r="S9" s="159" t="s">
        <v>318</v>
      </c>
      <c r="T9" s="159" t="s">
        <v>318</v>
      </c>
      <c r="U9" s="159" t="s">
        <v>318</v>
      </c>
      <c r="V9" s="159" t="s">
        <v>318</v>
      </c>
      <c r="W9" s="159" t="s">
        <v>318</v>
      </c>
      <c r="X9" s="159" t="s">
        <v>318</v>
      </c>
      <c r="Y9" s="159" t="s">
        <v>318</v>
      </c>
      <c r="Z9" s="159" t="s">
        <v>318</v>
      </c>
      <c r="AA9" s="159" t="s">
        <v>318</v>
      </c>
    </row>
    <row r="10" spans="1:27" ht="4.5" customHeight="1">
      <c r="A10" s="156"/>
      <c r="B10" s="156"/>
      <c r="C10" s="156"/>
      <c r="D10" s="156"/>
      <c r="E10" s="156"/>
      <c r="F10" s="156"/>
      <c r="G10" s="223"/>
      <c r="H10" s="223"/>
      <c r="I10" s="159" t="s">
        <v>318</v>
      </c>
      <c r="J10" s="159" t="s">
        <v>318</v>
      </c>
      <c r="K10" s="159" t="s">
        <v>318</v>
      </c>
      <c r="L10" s="159" t="s">
        <v>318</v>
      </c>
      <c r="M10" s="159" t="s">
        <v>318</v>
      </c>
      <c r="N10" s="159" t="s">
        <v>318</v>
      </c>
      <c r="O10" s="159" t="s">
        <v>318</v>
      </c>
      <c r="P10" s="159" t="s">
        <v>318</v>
      </c>
      <c r="Q10" s="159" t="s">
        <v>318</v>
      </c>
      <c r="R10" s="159" t="s">
        <v>318</v>
      </c>
      <c r="S10" s="159" t="s">
        <v>318</v>
      </c>
      <c r="T10" s="159" t="s">
        <v>318</v>
      </c>
      <c r="U10" s="159" t="s">
        <v>318</v>
      </c>
      <c r="V10" s="159" t="s">
        <v>318</v>
      </c>
      <c r="W10" s="159" t="s">
        <v>318</v>
      </c>
      <c r="X10" s="159" t="s">
        <v>318</v>
      </c>
      <c r="Y10" s="159" t="s">
        <v>318</v>
      </c>
      <c r="Z10" s="159" t="s">
        <v>318</v>
      </c>
      <c r="AA10" s="159" t="s">
        <v>318</v>
      </c>
    </row>
    <row r="11" spans="1:27" ht="3" customHeight="1">
      <c r="A11" s="223"/>
      <c r="B11" s="223"/>
      <c r="C11" s="223"/>
      <c r="D11" s="223"/>
      <c r="E11" s="223"/>
      <c r="F11" s="223"/>
      <c r="G11" s="223"/>
      <c r="H11" s="223"/>
      <c r="I11" s="159" t="s">
        <v>318</v>
      </c>
      <c r="J11" s="159" t="s">
        <v>318</v>
      </c>
      <c r="K11" s="159" t="s">
        <v>318</v>
      </c>
      <c r="L11" s="159" t="s">
        <v>318</v>
      </c>
      <c r="M11" s="159" t="s">
        <v>318</v>
      </c>
      <c r="N11" s="159" t="s">
        <v>318</v>
      </c>
      <c r="O11" s="159" t="s">
        <v>318</v>
      </c>
      <c r="P11" s="159" t="s">
        <v>318</v>
      </c>
      <c r="Q11" s="159" t="s">
        <v>318</v>
      </c>
      <c r="R11" s="159" t="s">
        <v>318</v>
      </c>
      <c r="S11" s="159" t="s">
        <v>318</v>
      </c>
      <c r="T11" s="159" t="s">
        <v>318</v>
      </c>
      <c r="U11" s="159" t="s">
        <v>318</v>
      </c>
      <c r="V11" s="159" t="s">
        <v>318</v>
      </c>
      <c r="W11" s="159" t="s">
        <v>318</v>
      </c>
      <c r="X11" s="159" t="s">
        <v>318</v>
      </c>
      <c r="Y11" s="159" t="s">
        <v>318</v>
      </c>
      <c r="Z11" s="159" t="s">
        <v>318</v>
      </c>
      <c r="AA11" s="159" t="s">
        <v>318</v>
      </c>
    </row>
    <row r="12" spans="1:27" ht="15" customHeight="1">
      <c r="A12" s="663" t="str">
        <f>CONCATENATE("INTRODUCIR OBRAS EN PERIODO DE GARANTIA NO IMPUTABLES AL CONTRATISTA ",IF(AUXILIAR!E29=1,"",IF(AUXILIAR!E29=2,"CON IVA","SIN IVA")))</f>
        <v>INTRODUCIR OBRAS EN PERIODO DE GARANTIA NO IMPUTABLES AL CONTRATISTA SIN IVA</v>
      </c>
      <c r="B12" s="663"/>
      <c r="C12" s="663"/>
      <c r="D12" s="663"/>
      <c r="E12" s="663"/>
      <c r="F12" s="663"/>
      <c r="G12" s="663"/>
      <c r="H12" s="663"/>
      <c r="I12" s="159" t="s">
        <v>318</v>
      </c>
      <c r="J12" s="159" t="s">
        <v>318</v>
      </c>
      <c r="K12" s="159" t="s">
        <v>318</v>
      </c>
      <c r="L12" s="159" t="s">
        <v>318</v>
      </c>
      <c r="M12" s="159" t="s">
        <v>318</v>
      </c>
      <c r="N12" s="159" t="s">
        <v>318</v>
      </c>
      <c r="O12" s="159" t="s">
        <v>318</v>
      </c>
      <c r="P12" s="159" t="s">
        <v>318</v>
      </c>
      <c r="Q12" s="159" t="s">
        <v>318</v>
      </c>
      <c r="R12" s="159" t="s">
        <v>318</v>
      </c>
      <c r="S12" s="159" t="s">
        <v>318</v>
      </c>
      <c r="T12" s="159" t="s">
        <v>318</v>
      </c>
      <c r="U12" s="159" t="s">
        <v>318</v>
      </c>
      <c r="V12" s="159" t="s">
        <v>318</v>
      </c>
      <c r="W12" s="159" t="s">
        <v>318</v>
      </c>
      <c r="X12" s="159" t="s">
        <v>318</v>
      </c>
      <c r="Y12" s="159" t="s">
        <v>318</v>
      </c>
      <c r="Z12" s="159" t="s">
        <v>318</v>
      </c>
      <c r="AA12" s="159" t="s">
        <v>318</v>
      </c>
    </row>
    <row r="13" spans="1:27" ht="22.5" customHeight="1">
      <c r="A13" s="648" t="s">
        <v>309</v>
      </c>
      <c r="B13" s="648"/>
      <c r="C13" s="648"/>
      <c r="D13" s="648"/>
      <c r="E13" s="648"/>
      <c r="F13" s="648"/>
      <c r="G13" s="648"/>
      <c r="H13" s="648"/>
      <c r="I13" s="159" t="s">
        <v>318</v>
      </c>
      <c r="J13" s="159" t="s">
        <v>318</v>
      </c>
      <c r="K13" s="159" t="s">
        <v>318</v>
      </c>
      <c r="L13" s="159" t="s">
        <v>318</v>
      </c>
      <c r="M13" s="159" t="s">
        <v>318</v>
      </c>
      <c r="N13" s="159" t="s">
        <v>318</v>
      </c>
      <c r="O13" s="159" t="s">
        <v>318</v>
      </c>
      <c r="P13" s="159" t="s">
        <v>318</v>
      </c>
      <c r="Q13" s="159" t="s">
        <v>318</v>
      </c>
      <c r="R13" s="159" t="s">
        <v>318</v>
      </c>
      <c r="S13" s="159" t="s">
        <v>318</v>
      </c>
      <c r="T13" s="159" t="s">
        <v>318</v>
      </c>
      <c r="U13" s="159" t="s">
        <v>318</v>
      </c>
      <c r="V13" s="159" t="s">
        <v>318</v>
      </c>
      <c r="W13" s="159" t="s">
        <v>318</v>
      </c>
      <c r="X13" s="159" t="s">
        <v>318</v>
      </c>
      <c r="Y13" s="159" t="s">
        <v>318</v>
      </c>
      <c r="Z13" s="159" t="s">
        <v>318</v>
      </c>
      <c r="AA13" s="159" t="s">
        <v>318</v>
      </c>
    </row>
    <row r="14" spans="1:27" ht="36" customHeight="1">
      <c r="A14" s="664" t="str">
        <f>CONCATENATE("OBRAS NO IMPUTABLES AL CONTRATISTA FÓRMULA Nº ",FÓRMULAS!C8)</f>
        <v>OBRAS NO IMPUTABLES AL CONTRATISTA FÓRMULA Nº 1</v>
      </c>
      <c r="B14" s="664"/>
      <c r="C14" s="664"/>
      <c r="D14" s="664" t="str">
        <f>IF(AUXILIAR!D11=1,"No rellenar esta columna",CONCATENATE("OBRAS NO IMPUTABLES AL CONTRATISTA FÓRMULA Nº ",FÓRMULAS!C9))</f>
        <v>No rellenar esta columna</v>
      </c>
      <c r="E14" s="664"/>
      <c r="F14" s="664"/>
      <c r="G14" s="659" t="s">
        <v>297</v>
      </c>
      <c r="H14" s="659" t="s">
        <v>298</v>
      </c>
      <c r="I14" s="159" t="s">
        <v>318</v>
      </c>
      <c r="J14" s="159" t="s">
        <v>318</v>
      </c>
      <c r="K14" s="159" t="s">
        <v>318</v>
      </c>
      <c r="L14" s="159" t="s">
        <v>318</v>
      </c>
      <c r="M14" s="159" t="s">
        <v>318</v>
      </c>
      <c r="N14" s="159" t="s">
        <v>318</v>
      </c>
      <c r="O14" s="159" t="s">
        <v>318</v>
      </c>
      <c r="P14" s="159" t="s">
        <v>318</v>
      </c>
      <c r="Q14" s="159" t="s">
        <v>318</v>
      </c>
      <c r="R14" s="159" t="s">
        <v>318</v>
      </c>
      <c r="S14" s="159" t="s">
        <v>318</v>
      </c>
      <c r="T14" s="159" t="s">
        <v>318</v>
      </c>
      <c r="U14" s="159" t="s">
        <v>318</v>
      </c>
      <c r="V14" s="159" t="s">
        <v>318</v>
      </c>
      <c r="W14" s="159" t="s">
        <v>318</v>
      </c>
      <c r="X14" s="159" t="s">
        <v>318</v>
      </c>
      <c r="Y14" s="159" t="s">
        <v>318</v>
      </c>
      <c r="Z14" s="159" t="s">
        <v>318</v>
      </c>
      <c r="AA14" s="159" t="s">
        <v>318</v>
      </c>
    </row>
    <row r="15" spans="1:27" ht="12.75">
      <c r="A15" s="240" t="s">
        <v>127</v>
      </c>
      <c r="B15" s="241" t="s">
        <v>129</v>
      </c>
      <c r="C15" s="241" t="s">
        <v>162</v>
      </c>
      <c r="D15" s="242" t="s">
        <v>127</v>
      </c>
      <c r="E15" s="242" t="s">
        <v>129</v>
      </c>
      <c r="F15" s="242" t="s">
        <v>162</v>
      </c>
      <c r="G15" s="659"/>
      <c r="H15" s="659"/>
      <c r="I15" s="159" t="s">
        <v>318</v>
      </c>
      <c r="J15" s="159" t="s">
        <v>318</v>
      </c>
      <c r="K15" s="159" t="s">
        <v>318</v>
      </c>
      <c r="L15" s="159" t="s">
        <v>318</v>
      </c>
      <c r="M15" s="159" t="s">
        <v>318</v>
      </c>
      <c r="N15" s="159" t="s">
        <v>318</v>
      </c>
      <c r="O15" s="159" t="s">
        <v>318</v>
      </c>
      <c r="P15" s="159" t="s">
        <v>318</v>
      </c>
      <c r="Q15" s="159" t="s">
        <v>318</v>
      </c>
      <c r="R15" s="159" t="s">
        <v>318</v>
      </c>
      <c r="S15" s="159" t="s">
        <v>318</v>
      </c>
      <c r="T15" s="159" t="s">
        <v>318</v>
      </c>
      <c r="U15" s="159" t="s">
        <v>318</v>
      </c>
      <c r="V15" s="159" t="s">
        <v>318</v>
      </c>
      <c r="W15" s="159" t="s">
        <v>318</v>
      </c>
      <c r="X15" s="159" t="s">
        <v>318</v>
      </c>
      <c r="Y15" s="159" t="s">
        <v>318</v>
      </c>
      <c r="Z15" s="159" t="s">
        <v>318</v>
      </c>
      <c r="AA15" s="159" t="s">
        <v>318</v>
      </c>
    </row>
    <row r="16" spans="1:27" ht="12.75">
      <c r="A16" s="167">
        <f>(INDEX(AUXILIAR!$I$2:$I$210,AUXILIAR!$G$48))</f>
        <v>35065</v>
      </c>
      <c r="B16" s="168" t="str">
        <f>IF(A16&lt;AUXILIAR!$G$51,AUXILIAR!M2,IF(A16=AUXILIAR!$G$51,"1 y último",""))</f>
        <v>1 y último</v>
      </c>
      <c r="C16" s="169">
        <v>0</v>
      </c>
      <c r="D16" s="167" t="str">
        <f>IF(AUXILIAR!$D$11=1,"-",A16)</f>
        <v>-</v>
      </c>
      <c r="E16" s="168" t="str">
        <f>IF(AUXILIAR!$D$11=1,"-",B16)</f>
        <v>-</v>
      </c>
      <c r="F16" s="169">
        <v>0</v>
      </c>
      <c r="G16" s="243">
        <f>IF(AUXILIAR!$D$11=1,C16,F16+C16)</f>
        <v>0</v>
      </c>
      <c r="H16" s="243">
        <f>G16</f>
        <v>0</v>
      </c>
      <c r="I16" s="159" t="s">
        <v>318</v>
      </c>
      <c r="J16" s="159" t="s">
        <v>318</v>
      </c>
      <c r="K16" s="159" t="s">
        <v>318</v>
      </c>
      <c r="L16" s="159" t="s">
        <v>318</v>
      </c>
      <c r="M16" s="159" t="s">
        <v>318</v>
      </c>
      <c r="N16" s="159" t="s">
        <v>318</v>
      </c>
      <c r="O16" s="159" t="s">
        <v>318</v>
      </c>
      <c r="P16" s="159" t="s">
        <v>318</v>
      </c>
      <c r="Q16" s="159" t="s">
        <v>318</v>
      </c>
      <c r="R16" s="159" t="s">
        <v>318</v>
      </c>
      <c r="S16" s="159" t="s">
        <v>318</v>
      </c>
      <c r="T16" s="159" t="s">
        <v>318</v>
      </c>
      <c r="U16" s="159" t="s">
        <v>318</v>
      </c>
      <c r="V16" s="159" t="s">
        <v>318</v>
      </c>
      <c r="W16" s="159" t="s">
        <v>318</v>
      </c>
      <c r="X16" s="159" t="s">
        <v>318</v>
      </c>
      <c r="Y16" s="159" t="s">
        <v>318</v>
      </c>
      <c r="Z16" s="159" t="s">
        <v>318</v>
      </c>
      <c r="AA16" s="159" t="s">
        <v>318</v>
      </c>
    </row>
    <row r="17" spans="1:27" ht="12.75">
      <c r="A17" s="167">
        <f>INDEX(AUXILIAR!$I$2:$I$210,AUXILIAR!$G$48+AUXILIAR!M2)</f>
        <v>35096</v>
      </c>
      <c r="B17" s="168">
        <f>IF(A17&lt;AUXILIAR!$G$51,AUXILIAR!M3,IF(A17=AUXILIAR!$G$51,CONCATENATE(B16+1," y último"),""))</f>
      </c>
      <c r="C17" s="169">
        <v>0</v>
      </c>
      <c r="D17" s="167" t="str">
        <f>IF(AUXILIAR!$D$11=1,"-",A17)</f>
        <v>-</v>
      </c>
      <c r="E17" s="168" t="str">
        <f>IF(AUXILIAR!$D$11=1,"-",B17)</f>
        <v>-</v>
      </c>
      <c r="F17" s="169">
        <v>0</v>
      </c>
      <c r="G17" s="243">
        <f>IF(AUXILIAR!$D$11=1,C17,F17+C17)</f>
        <v>0</v>
      </c>
      <c r="H17" s="243">
        <f>G17+H16</f>
        <v>0</v>
      </c>
      <c r="I17" s="159" t="s">
        <v>318</v>
      </c>
      <c r="J17" s="159" t="s">
        <v>318</v>
      </c>
      <c r="K17" s="159" t="s">
        <v>318</v>
      </c>
      <c r="L17" s="159" t="s">
        <v>318</v>
      </c>
      <c r="M17" s="159" t="s">
        <v>318</v>
      </c>
      <c r="N17" s="159" t="s">
        <v>318</v>
      </c>
      <c r="O17" s="159" t="s">
        <v>318</v>
      </c>
      <c r="P17" s="159" t="s">
        <v>318</v>
      </c>
      <c r="Q17" s="159" t="s">
        <v>318</v>
      </c>
      <c r="R17" s="159" t="s">
        <v>318</v>
      </c>
      <c r="S17" s="159" t="s">
        <v>318</v>
      </c>
      <c r="T17" s="159" t="s">
        <v>318</v>
      </c>
      <c r="U17" s="159" t="s">
        <v>318</v>
      </c>
      <c r="V17" s="159" t="s">
        <v>318</v>
      </c>
      <c r="W17" s="159" t="s">
        <v>318</v>
      </c>
      <c r="X17" s="159" t="s">
        <v>318</v>
      </c>
      <c r="Y17" s="159" t="s">
        <v>318</v>
      </c>
      <c r="Z17" s="159" t="s">
        <v>318</v>
      </c>
      <c r="AA17" s="159" t="s">
        <v>318</v>
      </c>
    </row>
    <row r="18" spans="1:27" ht="12.75">
      <c r="A18" s="167">
        <f>INDEX(AUXILIAR!$I$2:$I$210,AUXILIAR!$G$48+AUXILIAR!M3)</f>
        <v>35125</v>
      </c>
      <c r="B18" s="168">
        <f>IF(A18&lt;AUXILIAR!$G$51,AUXILIAR!M4,IF(A18=AUXILIAR!$G$51,CONCATENATE(B17+1," y último"),""))</f>
      </c>
      <c r="C18" s="169">
        <v>0</v>
      </c>
      <c r="D18" s="167" t="str">
        <f>IF(AUXILIAR!$D$11=1,"-",A18)</f>
        <v>-</v>
      </c>
      <c r="E18" s="168" t="str">
        <f>IF(AUXILIAR!$D$11=1,"-",B18)</f>
        <v>-</v>
      </c>
      <c r="F18" s="169">
        <v>0</v>
      </c>
      <c r="G18" s="243">
        <f>IF(AUXILIAR!$D$11=1,C18,F18+C18)</f>
        <v>0</v>
      </c>
      <c r="H18" s="243">
        <f aca="true" t="shared" si="0" ref="H18:H27">G18+H17</f>
        <v>0</v>
      </c>
      <c r="I18" s="159" t="s">
        <v>318</v>
      </c>
      <c r="J18" s="159" t="s">
        <v>318</v>
      </c>
      <c r="K18" s="159" t="s">
        <v>318</v>
      </c>
      <c r="L18" s="159" t="s">
        <v>318</v>
      </c>
      <c r="M18" s="159" t="s">
        <v>318</v>
      </c>
      <c r="N18" s="159" t="s">
        <v>318</v>
      </c>
      <c r="O18" s="159" t="s">
        <v>318</v>
      </c>
      <c r="P18" s="159" t="s">
        <v>318</v>
      </c>
      <c r="Q18" s="159" t="s">
        <v>318</v>
      </c>
      <c r="R18" s="159" t="s">
        <v>318</v>
      </c>
      <c r="S18" s="159" t="s">
        <v>318</v>
      </c>
      <c r="T18" s="159" t="s">
        <v>318</v>
      </c>
      <c r="U18" s="159" t="s">
        <v>318</v>
      </c>
      <c r="V18" s="159" t="s">
        <v>318</v>
      </c>
      <c r="W18" s="159" t="s">
        <v>318</v>
      </c>
      <c r="X18" s="159" t="s">
        <v>318</v>
      </c>
      <c r="Y18" s="159" t="s">
        <v>318</v>
      </c>
      <c r="Z18" s="159" t="s">
        <v>318</v>
      </c>
      <c r="AA18" s="159" t="s">
        <v>318</v>
      </c>
    </row>
    <row r="19" spans="1:27" ht="12.75">
      <c r="A19" s="167">
        <f>INDEX(AUXILIAR!$I$2:$I$210,AUXILIAR!$G$48+AUXILIAR!M4)</f>
        <v>35156</v>
      </c>
      <c r="B19" s="168">
        <f>IF(A19&lt;AUXILIAR!$G$51,AUXILIAR!M5,IF(A19=AUXILIAR!$G$51,CONCATENATE(B18+1," y último"),""))</f>
      </c>
      <c r="C19" s="169">
        <v>0</v>
      </c>
      <c r="D19" s="167" t="str">
        <f>IF(AUXILIAR!$D$11=1,"-",A19)</f>
        <v>-</v>
      </c>
      <c r="E19" s="168" t="str">
        <f>IF(AUXILIAR!$D$11=1,"-",B19)</f>
        <v>-</v>
      </c>
      <c r="F19" s="169">
        <v>0</v>
      </c>
      <c r="G19" s="243">
        <f>IF(AUXILIAR!$D$11=1,C19,F19+C19)</f>
        <v>0</v>
      </c>
      <c r="H19" s="243">
        <f t="shared" si="0"/>
        <v>0</v>
      </c>
      <c r="I19" s="159" t="s">
        <v>318</v>
      </c>
      <c r="J19" s="159" t="s">
        <v>318</v>
      </c>
      <c r="K19" s="159" t="s">
        <v>318</v>
      </c>
      <c r="L19" s="159" t="s">
        <v>318</v>
      </c>
      <c r="M19" s="159" t="s">
        <v>318</v>
      </c>
      <c r="N19" s="159" t="s">
        <v>318</v>
      </c>
      <c r="O19" s="159" t="s">
        <v>318</v>
      </c>
      <c r="P19" s="159" t="s">
        <v>318</v>
      </c>
      <c r="Q19" s="159" t="s">
        <v>318</v>
      </c>
      <c r="R19" s="159" t="s">
        <v>318</v>
      </c>
      <c r="S19" s="159" t="s">
        <v>318</v>
      </c>
      <c r="T19" s="159" t="s">
        <v>318</v>
      </c>
      <c r="U19" s="159" t="s">
        <v>318</v>
      </c>
      <c r="V19" s="159" t="s">
        <v>318</v>
      </c>
      <c r="W19" s="159" t="s">
        <v>318</v>
      </c>
      <c r="X19" s="159" t="s">
        <v>318</v>
      </c>
      <c r="Y19" s="159" t="s">
        <v>318</v>
      </c>
      <c r="Z19" s="159" t="s">
        <v>318</v>
      </c>
      <c r="AA19" s="159" t="s">
        <v>318</v>
      </c>
    </row>
    <row r="20" spans="1:27" ht="12.75">
      <c r="A20" s="167">
        <f>INDEX(AUXILIAR!$I$2:$I$210,AUXILIAR!$G$48+AUXILIAR!M5)</f>
        <v>35186</v>
      </c>
      <c r="B20" s="168">
        <f>IF(A20&lt;AUXILIAR!$G$51,AUXILIAR!M6,IF(A20=AUXILIAR!$G$51,CONCATENATE(B19+1," y último"),""))</f>
      </c>
      <c r="C20" s="169">
        <v>0</v>
      </c>
      <c r="D20" s="167" t="str">
        <f>IF(AUXILIAR!$D$11=1,"-",A20)</f>
        <v>-</v>
      </c>
      <c r="E20" s="168" t="str">
        <f>IF(AUXILIAR!$D$11=1,"-",B20)</f>
        <v>-</v>
      </c>
      <c r="F20" s="169">
        <v>0</v>
      </c>
      <c r="G20" s="243">
        <f>IF(AUXILIAR!$D$11=1,C20,F20+C20)</f>
        <v>0</v>
      </c>
      <c r="H20" s="243">
        <f t="shared" si="0"/>
        <v>0</v>
      </c>
      <c r="I20" s="159" t="s">
        <v>318</v>
      </c>
      <c r="J20" s="159" t="s">
        <v>318</v>
      </c>
      <c r="K20" s="159" t="s">
        <v>318</v>
      </c>
      <c r="L20" s="159" t="s">
        <v>318</v>
      </c>
      <c r="M20" s="159" t="s">
        <v>318</v>
      </c>
      <c r="N20" s="159" t="s">
        <v>318</v>
      </c>
      <c r="O20" s="159" t="s">
        <v>318</v>
      </c>
      <c r="P20" s="159" t="s">
        <v>318</v>
      </c>
      <c r="Q20" s="159" t="s">
        <v>318</v>
      </c>
      <c r="R20" s="159" t="s">
        <v>318</v>
      </c>
      <c r="S20" s="159" t="s">
        <v>318</v>
      </c>
      <c r="T20" s="159" t="s">
        <v>318</v>
      </c>
      <c r="U20" s="159" t="s">
        <v>318</v>
      </c>
      <c r="V20" s="159" t="s">
        <v>318</v>
      </c>
      <c r="W20" s="159" t="s">
        <v>318</v>
      </c>
      <c r="X20" s="159" t="s">
        <v>318</v>
      </c>
      <c r="Y20" s="159" t="s">
        <v>318</v>
      </c>
      <c r="Z20" s="159" t="s">
        <v>318</v>
      </c>
      <c r="AA20" s="159" t="s">
        <v>318</v>
      </c>
    </row>
    <row r="21" spans="1:27" ht="12.75">
      <c r="A21" s="167">
        <f>INDEX(AUXILIAR!$I$2:$I$210,AUXILIAR!$G$48+AUXILIAR!M6)</f>
        <v>35217</v>
      </c>
      <c r="B21" s="168">
        <f>IF(A21&lt;AUXILIAR!$G$51,AUXILIAR!M7,IF(A21=AUXILIAR!$G$51,CONCATENATE(B20+1," y último"),""))</f>
      </c>
      <c r="C21" s="169">
        <v>0</v>
      </c>
      <c r="D21" s="167" t="str">
        <f>IF(AUXILIAR!$D$11=1,"-",A21)</f>
        <v>-</v>
      </c>
      <c r="E21" s="168" t="str">
        <f>IF(AUXILIAR!$D$11=1,"-",B21)</f>
        <v>-</v>
      </c>
      <c r="F21" s="169">
        <v>0</v>
      </c>
      <c r="G21" s="243">
        <f>IF(AUXILIAR!$D$11=1,C21,F21+C21)</f>
        <v>0</v>
      </c>
      <c r="H21" s="243">
        <f t="shared" si="0"/>
        <v>0</v>
      </c>
      <c r="I21" s="159" t="s">
        <v>318</v>
      </c>
      <c r="J21" s="159" t="s">
        <v>318</v>
      </c>
      <c r="K21" s="159" t="s">
        <v>318</v>
      </c>
      <c r="L21" s="159" t="s">
        <v>318</v>
      </c>
      <c r="M21" s="159" t="s">
        <v>318</v>
      </c>
      <c r="N21" s="159" t="s">
        <v>318</v>
      </c>
      <c r="O21" s="159" t="s">
        <v>318</v>
      </c>
      <c r="P21" s="159" t="s">
        <v>318</v>
      </c>
      <c r="Q21" s="159" t="s">
        <v>318</v>
      </c>
      <c r="R21" s="159" t="s">
        <v>318</v>
      </c>
      <c r="S21" s="159" t="s">
        <v>318</v>
      </c>
      <c r="T21" s="159" t="s">
        <v>318</v>
      </c>
      <c r="U21" s="159" t="s">
        <v>318</v>
      </c>
      <c r="V21" s="159" t="s">
        <v>318</v>
      </c>
      <c r="W21" s="159" t="s">
        <v>318</v>
      </c>
      <c r="X21" s="159" t="s">
        <v>318</v>
      </c>
      <c r="Y21" s="159" t="s">
        <v>318</v>
      </c>
      <c r="Z21" s="159" t="s">
        <v>318</v>
      </c>
      <c r="AA21" s="159" t="s">
        <v>318</v>
      </c>
    </row>
    <row r="22" spans="1:27" ht="12.75">
      <c r="A22" s="167">
        <f>INDEX(AUXILIAR!$I$2:$I$210,AUXILIAR!$G$48+AUXILIAR!M7)</f>
        <v>35247</v>
      </c>
      <c r="B22" s="168">
        <f>IF(A22&lt;AUXILIAR!$G$51,AUXILIAR!M8,IF(A22=AUXILIAR!$G$51,CONCATENATE(B21+1," y último"),""))</f>
      </c>
      <c r="C22" s="169">
        <v>0</v>
      </c>
      <c r="D22" s="167" t="str">
        <f>IF(AUXILIAR!$D$11=1,"-",A22)</f>
        <v>-</v>
      </c>
      <c r="E22" s="168" t="str">
        <f>IF(AUXILIAR!$D$11=1,"-",B22)</f>
        <v>-</v>
      </c>
      <c r="F22" s="169">
        <v>0</v>
      </c>
      <c r="G22" s="243">
        <f>IF(AUXILIAR!$D$11=1,C22,F22+C22)</f>
        <v>0</v>
      </c>
      <c r="H22" s="243">
        <f t="shared" si="0"/>
        <v>0</v>
      </c>
      <c r="I22" s="159" t="s">
        <v>318</v>
      </c>
      <c r="J22" s="159" t="s">
        <v>318</v>
      </c>
      <c r="K22" s="159" t="s">
        <v>318</v>
      </c>
      <c r="L22" s="159" t="s">
        <v>318</v>
      </c>
      <c r="M22" s="159" t="s">
        <v>318</v>
      </c>
      <c r="N22" s="159" t="s">
        <v>318</v>
      </c>
      <c r="O22" s="159" t="s">
        <v>318</v>
      </c>
      <c r="P22" s="159" t="s">
        <v>318</v>
      </c>
      <c r="Q22" s="159" t="s">
        <v>318</v>
      </c>
      <c r="R22" s="159" t="s">
        <v>318</v>
      </c>
      <c r="S22" s="159" t="s">
        <v>318</v>
      </c>
      <c r="T22" s="159" t="s">
        <v>318</v>
      </c>
      <c r="U22" s="159" t="s">
        <v>318</v>
      </c>
      <c r="V22" s="159" t="s">
        <v>318</v>
      </c>
      <c r="W22" s="159" t="s">
        <v>318</v>
      </c>
      <c r="X22" s="159" t="s">
        <v>318</v>
      </c>
      <c r="Y22" s="159" t="s">
        <v>318</v>
      </c>
      <c r="Z22" s="159" t="s">
        <v>318</v>
      </c>
      <c r="AA22" s="159" t="s">
        <v>318</v>
      </c>
    </row>
    <row r="23" spans="1:27" ht="12.75">
      <c r="A23" s="167">
        <f>INDEX(AUXILIAR!$I$2:$I$210,AUXILIAR!$G$48+AUXILIAR!M8)</f>
        <v>35278</v>
      </c>
      <c r="B23" s="168">
        <f>IF(A23&lt;AUXILIAR!$G$51,AUXILIAR!M9,IF(A23=AUXILIAR!$G$51,CONCATENATE(B22+1," y último"),""))</f>
      </c>
      <c r="C23" s="169">
        <v>0</v>
      </c>
      <c r="D23" s="167" t="str">
        <f>IF(AUXILIAR!$D$11=1,"-",A23)</f>
        <v>-</v>
      </c>
      <c r="E23" s="168" t="str">
        <f>IF(AUXILIAR!$D$11=1,"-",B23)</f>
        <v>-</v>
      </c>
      <c r="F23" s="169">
        <v>0</v>
      </c>
      <c r="G23" s="243">
        <f>IF(AUXILIAR!$D$11=1,C23,F23+C23)</f>
        <v>0</v>
      </c>
      <c r="H23" s="243">
        <f t="shared" si="0"/>
        <v>0</v>
      </c>
      <c r="I23" s="159" t="s">
        <v>318</v>
      </c>
      <c r="J23" s="159" t="s">
        <v>318</v>
      </c>
      <c r="K23" s="159" t="s">
        <v>318</v>
      </c>
      <c r="L23" s="159" t="s">
        <v>318</v>
      </c>
      <c r="M23" s="159" t="s">
        <v>318</v>
      </c>
      <c r="N23" s="159" t="s">
        <v>318</v>
      </c>
      <c r="O23" s="159" t="s">
        <v>318</v>
      </c>
      <c r="P23" s="159" t="s">
        <v>318</v>
      </c>
      <c r="Q23" s="159" t="s">
        <v>318</v>
      </c>
      <c r="R23" s="159" t="s">
        <v>318</v>
      </c>
      <c r="S23" s="159" t="s">
        <v>318</v>
      </c>
      <c r="T23" s="159" t="s">
        <v>318</v>
      </c>
      <c r="U23" s="159" t="s">
        <v>318</v>
      </c>
      <c r="V23" s="159" t="s">
        <v>318</v>
      </c>
      <c r="W23" s="159" t="s">
        <v>318</v>
      </c>
      <c r="X23" s="159" t="s">
        <v>318</v>
      </c>
      <c r="Y23" s="159" t="s">
        <v>318</v>
      </c>
      <c r="Z23" s="159" t="s">
        <v>318</v>
      </c>
      <c r="AA23" s="159" t="s">
        <v>318</v>
      </c>
    </row>
    <row r="24" spans="1:27" ht="12.75">
      <c r="A24" s="167">
        <f>INDEX(AUXILIAR!$I$2:$I$210,AUXILIAR!$G$48+AUXILIAR!M9)</f>
        <v>35309</v>
      </c>
      <c r="B24" s="168">
        <f>IF(A24&lt;AUXILIAR!$G$51,AUXILIAR!M10,IF(A24=AUXILIAR!$G$51,CONCATENATE(B23+1," y último"),""))</f>
      </c>
      <c r="C24" s="169">
        <v>0</v>
      </c>
      <c r="D24" s="167" t="str">
        <f>IF(AUXILIAR!$D$11=1,"-",A24)</f>
        <v>-</v>
      </c>
      <c r="E24" s="168" t="str">
        <f>IF(AUXILIAR!$D$11=1,"-",B24)</f>
        <v>-</v>
      </c>
      <c r="F24" s="169">
        <v>0</v>
      </c>
      <c r="G24" s="243">
        <f>IF(AUXILIAR!$D$11=1,C24,F24+C24)</f>
        <v>0</v>
      </c>
      <c r="H24" s="243">
        <f t="shared" si="0"/>
        <v>0</v>
      </c>
      <c r="I24" s="159" t="s">
        <v>318</v>
      </c>
      <c r="J24" s="159" t="s">
        <v>318</v>
      </c>
      <c r="K24" s="159" t="s">
        <v>318</v>
      </c>
      <c r="L24" s="159" t="s">
        <v>318</v>
      </c>
      <c r="M24" s="159" t="s">
        <v>318</v>
      </c>
      <c r="N24" s="159" t="s">
        <v>318</v>
      </c>
      <c r="O24" s="159" t="s">
        <v>318</v>
      </c>
      <c r="P24" s="159" t="s">
        <v>318</v>
      </c>
      <c r="Q24" s="159" t="s">
        <v>318</v>
      </c>
      <c r="R24" s="159" t="s">
        <v>318</v>
      </c>
      <c r="S24" s="159" t="s">
        <v>318</v>
      </c>
      <c r="T24" s="159" t="s">
        <v>318</v>
      </c>
      <c r="U24" s="159" t="s">
        <v>318</v>
      </c>
      <c r="V24" s="159" t="s">
        <v>318</v>
      </c>
      <c r="W24" s="159" t="s">
        <v>318</v>
      </c>
      <c r="X24" s="159" t="s">
        <v>318</v>
      </c>
      <c r="Y24" s="159" t="s">
        <v>318</v>
      </c>
      <c r="Z24" s="159" t="s">
        <v>318</v>
      </c>
      <c r="AA24" s="159" t="s">
        <v>318</v>
      </c>
    </row>
    <row r="25" spans="1:27" ht="12.75">
      <c r="A25" s="167">
        <f>INDEX(AUXILIAR!$I$2:$I$210,AUXILIAR!$G$48+AUXILIAR!M10)</f>
        <v>35339</v>
      </c>
      <c r="B25" s="168">
        <f>IF(A25&lt;AUXILIAR!$G$51,AUXILIAR!M11,IF(A25=AUXILIAR!$G$51,CONCATENATE(B24+1," y último"),""))</f>
      </c>
      <c r="C25" s="169">
        <v>0</v>
      </c>
      <c r="D25" s="167" t="str">
        <f>IF(AUXILIAR!$D$11=1,"-",A25)</f>
        <v>-</v>
      </c>
      <c r="E25" s="168" t="str">
        <f>IF(AUXILIAR!$D$11=1,"-",B25)</f>
        <v>-</v>
      </c>
      <c r="F25" s="169">
        <v>0</v>
      </c>
      <c r="G25" s="243">
        <f>IF(AUXILIAR!$D$11=1,C25,F25+C25)</f>
        <v>0</v>
      </c>
      <c r="H25" s="243">
        <f t="shared" si="0"/>
        <v>0</v>
      </c>
      <c r="I25" s="159" t="s">
        <v>318</v>
      </c>
      <c r="J25" s="159" t="s">
        <v>318</v>
      </c>
      <c r="K25" s="159" t="s">
        <v>318</v>
      </c>
      <c r="L25" s="159" t="s">
        <v>318</v>
      </c>
      <c r="M25" s="159" t="s">
        <v>318</v>
      </c>
      <c r="N25" s="159" t="s">
        <v>318</v>
      </c>
      <c r="O25" s="159" t="s">
        <v>318</v>
      </c>
      <c r="P25" s="159" t="s">
        <v>318</v>
      </c>
      <c r="Q25" s="159" t="s">
        <v>318</v>
      </c>
      <c r="R25" s="159" t="s">
        <v>318</v>
      </c>
      <c r="S25" s="159" t="s">
        <v>318</v>
      </c>
      <c r="T25" s="159" t="s">
        <v>318</v>
      </c>
      <c r="U25" s="159" t="s">
        <v>318</v>
      </c>
      <c r="V25" s="159" t="s">
        <v>318</v>
      </c>
      <c r="W25" s="159" t="s">
        <v>318</v>
      </c>
      <c r="X25" s="159" t="s">
        <v>318</v>
      </c>
      <c r="Y25" s="159" t="s">
        <v>318</v>
      </c>
      <c r="Z25" s="159" t="s">
        <v>318</v>
      </c>
      <c r="AA25" s="159" t="s">
        <v>318</v>
      </c>
    </row>
    <row r="26" spans="1:27" ht="12.75">
      <c r="A26" s="167">
        <f>INDEX(AUXILIAR!$I$2:$I$210,AUXILIAR!$G$48+AUXILIAR!M11)</f>
        <v>35370</v>
      </c>
      <c r="B26" s="168">
        <f>IF(A26&lt;AUXILIAR!$G$51,AUXILIAR!M12,IF(A26=AUXILIAR!$G$51,CONCATENATE(B25+1," y último"),""))</f>
      </c>
      <c r="C26" s="169">
        <v>0</v>
      </c>
      <c r="D26" s="167" t="str">
        <f>IF(AUXILIAR!$D$11=1,"-",A26)</f>
        <v>-</v>
      </c>
      <c r="E26" s="168" t="str">
        <f>IF(AUXILIAR!$D$11=1,"-",B26)</f>
        <v>-</v>
      </c>
      <c r="F26" s="169">
        <v>0</v>
      </c>
      <c r="G26" s="243">
        <f>IF(AUXILIAR!$D$11=1,C26,F26+C26)</f>
        <v>0</v>
      </c>
      <c r="H26" s="243">
        <f t="shared" si="0"/>
        <v>0</v>
      </c>
      <c r="I26" s="159" t="s">
        <v>318</v>
      </c>
      <c r="J26" s="159" t="s">
        <v>318</v>
      </c>
      <c r="K26" s="159" t="s">
        <v>318</v>
      </c>
      <c r="L26" s="159" t="s">
        <v>318</v>
      </c>
      <c r="M26" s="159" t="s">
        <v>318</v>
      </c>
      <c r="N26" s="159" t="s">
        <v>318</v>
      </c>
      <c r="O26" s="159" t="s">
        <v>318</v>
      </c>
      <c r="P26" s="159" t="s">
        <v>318</v>
      </c>
      <c r="Q26" s="159" t="s">
        <v>318</v>
      </c>
      <c r="R26" s="159" t="s">
        <v>318</v>
      </c>
      <c r="S26" s="159" t="s">
        <v>318</v>
      </c>
      <c r="T26" s="159" t="s">
        <v>318</v>
      </c>
      <c r="U26" s="159" t="s">
        <v>318</v>
      </c>
      <c r="V26" s="159" t="s">
        <v>318</v>
      </c>
      <c r="W26" s="159" t="s">
        <v>318</v>
      </c>
      <c r="X26" s="159" t="s">
        <v>318</v>
      </c>
      <c r="Y26" s="159" t="s">
        <v>318</v>
      </c>
      <c r="Z26" s="159" t="s">
        <v>318</v>
      </c>
      <c r="AA26" s="159" t="s">
        <v>318</v>
      </c>
    </row>
    <row r="27" spans="1:27" ht="12.75">
      <c r="A27" s="167">
        <f>INDEX(AUXILIAR!$I$2:$I$210,AUXILIAR!$G$48+AUXILIAR!M12)</f>
        <v>35400</v>
      </c>
      <c r="B27" s="168">
        <f>IF(A27&lt;AUXILIAR!$G$51,AUXILIAR!M13,IF(A27=AUXILIAR!$G$51,CONCATENATE(B26+1," y último"),""))</f>
      </c>
      <c r="C27" s="169">
        <v>0</v>
      </c>
      <c r="D27" s="167" t="str">
        <f>IF(AUXILIAR!$D$11=1,"-",A27)</f>
        <v>-</v>
      </c>
      <c r="E27" s="168" t="str">
        <f>IF(AUXILIAR!$D$11=1,"-",B27)</f>
        <v>-</v>
      </c>
      <c r="F27" s="169">
        <v>0</v>
      </c>
      <c r="G27" s="243">
        <f>IF(AUXILIAR!$D$11=1,C27,F27+C27)</f>
        <v>0</v>
      </c>
      <c r="H27" s="243">
        <f t="shared" si="0"/>
        <v>0</v>
      </c>
      <c r="I27" s="159" t="s">
        <v>318</v>
      </c>
      <c r="J27" s="159" t="s">
        <v>318</v>
      </c>
      <c r="K27" s="159" t="s">
        <v>318</v>
      </c>
      <c r="L27" s="159" t="s">
        <v>318</v>
      </c>
      <c r="M27" s="159" t="s">
        <v>318</v>
      </c>
      <c r="N27" s="159" t="s">
        <v>318</v>
      </c>
      <c r="O27" s="159" t="s">
        <v>318</v>
      </c>
      <c r="P27" s="159" t="s">
        <v>318</v>
      </c>
      <c r="Q27" s="159" t="s">
        <v>318</v>
      </c>
      <c r="R27" s="159" t="s">
        <v>318</v>
      </c>
      <c r="S27" s="159" t="s">
        <v>318</v>
      </c>
      <c r="T27" s="159" t="s">
        <v>318</v>
      </c>
      <c r="U27" s="159" t="s">
        <v>318</v>
      </c>
      <c r="V27" s="159" t="s">
        <v>318</v>
      </c>
      <c r="W27" s="159" t="s">
        <v>318</v>
      </c>
      <c r="X27" s="159" t="s">
        <v>318</v>
      </c>
      <c r="Y27" s="159" t="s">
        <v>318</v>
      </c>
      <c r="Z27" s="159" t="s">
        <v>318</v>
      </c>
      <c r="AA27" s="159" t="s">
        <v>318</v>
      </c>
    </row>
    <row r="28" spans="1:27" ht="12.75">
      <c r="A28" s="167">
        <f>INDEX(AUXILIAR!$I$2:$I$210,AUXILIAR!$G$48+AUXILIAR!M13)</f>
        <v>35431</v>
      </c>
      <c r="B28" s="168">
        <f>IF(A28&lt;AUXILIAR!$G$51,AUXILIAR!M14,IF(A28=AUXILIAR!$G$51,CONCATENATE(B27+1," y último"),""))</f>
      </c>
      <c r="C28" s="169">
        <v>0</v>
      </c>
      <c r="D28" s="167" t="str">
        <f>IF(AUXILIAR!$D$11=1,"-",A28)</f>
        <v>-</v>
      </c>
      <c r="E28" s="168" t="str">
        <f>IF(AUXILIAR!$D$11=1,"-",B28)</f>
        <v>-</v>
      </c>
      <c r="F28" s="169">
        <v>0</v>
      </c>
      <c r="G28" s="243">
        <f>IF(AUXILIAR!$D$11=1,C28,F28+C28)</f>
        <v>0</v>
      </c>
      <c r="H28" s="243">
        <f aca="true" t="shared" si="1" ref="H28:H34">G28+H27</f>
        <v>0</v>
      </c>
      <c r="I28" s="159" t="s">
        <v>318</v>
      </c>
      <c r="J28" s="159" t="s">
        <v>318</v>
      </c>
      <c r="K28" s="159" t="s">
        <v>318</v>
      </c>
      <c r="L28" s="159" t="s">
        <v>318</v>
      </c>
      <c r="M28" s="159" t="s">
        <v>318</v>
      </c>
      <c r="N28" s="159" t="s">
        <v>318</v>
      </c>
      <c r="O28" s="159" t="s">
        <v>318</v>
      </c>
      <c r="P28" s="159" t="s">
        <v>318</v>
      </c>
      <c r="Q28" s="159" t="s">
        <v>318</v>
      </c>
      <c r="R28" s="159" t="s">
        <v>318</v>
      </c>
      <c r="S28" s="159" t="s">
        <v>318</v>
      </c>
      <c r="T28" s="159" t="s">
        <v>318</v>
      </c>
      <c r="U28" s="159" t="s">
        <v>318</v>
      </c>
      <c r="V28" s="159" t="s">
        <v>318</v>
      </c>
      <c r="W28" s="159" t="s">
        <v>318</v>
      </c>
      <c r="X28" s="159" t="s">
        <v>318</v>
      </c>
      <c r="Y28" s="159" t="s">
        <v>318</v>
      </c>
      <c r="Z28" s="159" t="s">
        <v>318</v>
      </c>
      <c r="AA28" s="159" t="s">
        <v>318</v>
      </c>
    </row>
    <row r="29" spans="1:27" ht="12.75">
      <c r="A29" s="167">
        <f>INDEX(AUXILIAR!$I$2:$I$210,AUXILIAR!$G$48+AUXILIAR!M14)</f>
        <v>35462</v>
      </c>
      <c r="B29" s="168">
        <f>IF(A29&lt;AUXILIAR!$G$51,AUXILIAR!M15,IF(A29=AUXILIAR!$G$51,CONCATENATE(B28+1," y último"),""))</f>
      </c>
      <c r="C29" s="169">
        <v>0</v>
      </c>
      <c r="D29" s="167" t="str">
        <f>IF(AUXILIAR!$D$11=1,"-",A29)</f>
        <v>-</v>
      </c>
      <c r="E29" s="168" t="str">
        <f>IF(AUXILIAR!$D$11=1,"-",B29)</f>
        <v>-</v>
      </c>
      <c r="F29" s="169">
        <v>0</v>
      </c>
      <c r="G29" s="243">
        <f>IF(AUXILIAR!$D$11=1,C29,F29+C29)</f>
        <v>0</v>
      </c>
      <c r="H29" s="243">
        <f t="shared" si="1"/>
        <v>0</v>
      </c>
      <c r="I29" s="159" t="s">
        <v>318</v>
      </c>
      <c r="J29" s="159" t="s">
        <v>318</v>
      </c>
      <c r="K29" s="159" t="s">
        <v>318</v>
      </c>
      <c r="L29" s="159" t="s">
        <v>318</v>
      </c>
      <c r="M29" s="159" t="s">
        <v>318</v>
      </c>
      <c r="N29" s="159" t="s">
        <v>318</v>
      </c>
      <c r="O29" s="159" t="s">
        <v>318</v>
      </c>
      <c r="P29" s="159" t="s">
        <v>318</v>
      </c>
      <c r="Q29" s="159" t="s">
        <v>318</v>
      </c>
      <c r="R29" s="159" t="s">
        <v>318</v>
      </c>
      <c r="S29" s="159" t="s">
        <v>318</v>
      </c>
      <c r="T29" s="159" t="s">
        <v>318</v>
      </c>
      <c r="U29" s="159" t="s">
        <v>318</v>
      </c>
      <c r="V29" s="159" t="s">
        <v>318</v>
      </c>
      <c r="W29" s="159" t="s">
        <v>318</v>
      </c>
      <c r="X29" s="159" t="s">
        <v>318</v>
      </c>
      <c r="Y29" s="159" t="s">
        <v>318</v>
      </c>
      <c r="Z29" s="159" t="s">
        <v>318</v>
      </c>
      <c r="AA29" s="159" t="s">
        <v>318</v>
      </c>
    </row>
    <row r="30" spans="1:27" ht="12.75">
      <c r="A30" s="167">
        <f>INDEX(AUXILIAR!$I$2:$I$210,AUXILIAR!$G$48+AUXILIAR!M15)</f>
        <v>35490</v>
      </c>
      <c r="B30" s="168">
        <f>IF(A30&lt;AUXILIAR!$G$51,AUXILIAR!M16,IF(A30=AUXILIAR!$G$51,CONCATENATE(B29+1," y último"),""))</f>
      </c>
      <c r="C30" s="169">
        <v>0</v>
      </c>
      <c r="D30" s="167" t="str">
        <f>IF(AUXILIAR!$D$11=1,"-",A30)</f>
        <v>-</v>
      </c>
      <c r="E30" s="168" t="str">
        <f>IF(AUXILIAR!$D$11=1,"-",B30)</f>
        <v>-</v>
      </c>
      <c r="F30" s="169">
        <v>0</v>
      </c>
      <c r="G30" s="243">
        <f>IF(AUXILIAR!$D$11=1,C30,F30+C30)</f>
        <v>0</v>
      </c>
      <c r="H30" s="243">
        <f t="shared" si="1"/>
        <v>0</v>
      </c>
      <c r="I30" s="159" t="s">
        <v>318</v>
      </c>
      <c r="J30" s="159" t="s">
        <v>318</v>
      </c>
      <c r="K30" s="159" t="s">
        <v>318</v>
      </c>
      <c r="L30" s="159" t="s">
        <v>318</v>
      </c>
      <c r="M30" s="159" t="s">
        <v>318</v>
      </c>
      <c r="N30" s="159" t="s">
        <v>318</v>
      </c>
      <c r="O30" s="159" t="s">
        <v>318</v>
      </c>
      <c r="P30" s="159" t="s">
        <v>318</v>
      </c>
      <c r="Q30" s="159" t="s">
        <v>318</v>
      </c>
      <c r="R30" s="159" t="s">
        <v>318</v>
      </c>
      <c r="S30" s="159" t="s">
        <v>318</v>
      </c>
      <c r="T30" s="159" t="s">
        <v>318</v>
      </c>
      <c r="U30" s="159" t="s">
        <v>318</v>
      </c>
      <c r="V30" s="159" t="s">
        <v>318</v>
      </c>
      <c r="W30" s="159" t="s">
        <v>318</v>
      </c>
      <c r="X30" s="159" t="s">
        <v>318</v>
      </c>
      <c r="Y30" s="159" t="s">
        <v>318</v>
      </c>
      <c r="Z30" s="159" t="s">
        <v>318</v>
      </c>
      <c r="AA30" s="159" t="s">
        <v>318</v>
      </c>
    </row>
    <row r="31" spans="1:27" ht="12.75">
      <c r="A31" s="167">
        <f>INDEX(AUXILIAR!$I$2:$I$210,AUXILIAR!$G$48+AUXILIAR!M16)</f>
        <v>35521</v>
      </c>
      <c r="B31" s="168">
        <f>IF(A31&lt;AUXILIAR!$G$51,AUXILIAR!M17,IF(A31=AUXILIAR!$G$51,CONCATENATE(B30+1," y último"),""))</f>
      </c>
      <c r="C31" s="169">
        <v>0</v>
      </c>
      <c r="D31" s="167" t="str">
        <f>IF(AUXILIAR!$D$11=1,"-",A31)</f>
        <v>-</v>
      </c>
      <c r="E31" s="168" t="str">
        <f>IF(AUXILIAR!$D$11=1,"-",B31)</f>
        <v>-</v>
      </c>
      <c r="F31" s="169">
        <v>0</v>
      </c>
      <c r="G31" s="243">
        <f>IF(AUXILIAR!$D$11=1,C31,F31+C31)</f>
        <v>0</v>
      </c>
      <c r="H31" s="243">
        <f t="shared" si="1"/>
        <v>0</v>
      </c>
      <c r="I31" s="159" t="s">
        <v>318</v>
      </c>
      <c r="J31" s="159" t="s">
        <v>318</v>
      </c>
      <c r="K31" s="159" t="s">
        <v>318</v>
      </c>
      <c r="L31" s="159" t="s">
        <v>318</v>
      </c>
      <c r="M31" s="159" t="s">
        <v>318</v>
      </c>
      <c r="N31" s="159" t="s">
        <v>318</v>
      </c>
      <c r="O31" s="159" t="s">
        <v>318</v>
      </c>
      <c r="P31" s="159" t="s">
        <v>318</v>
      </c>
      <c r="Q31" s="159" t="s">
        <v>318</v>
      </c>
      <c r="R31" s="159" t="s">
        <v>318</v>
      </c>
      <c r="S31" s="159" t="s">
        <v>318</v>
      </c>
      <c r="T31" s="159" t="s">
        <v>318</v>
      </c>
      <c r="U31" s="159" t="s">
        <v>318</v>
      </c>
      <c r="V31" s="159" t="s">
        <v>318</v>
      </c>
      <c r="W31" s="159" t="s">
        <v>318</v>
      </c>
      <c r="X31" s="159" t="s">
        <v>318</v>
      </c>
      <c r="Y31" s="159" t="s">
        <v>318</v>
      </c>
      <c r="Z31" s="159" t="s">
        <v>318</v>
      </c>
      <c r="AA31" s="159" t="s">
        <v>318</v>
      </c>
    </row>
    <row r="32" spans="1:27" ht="12.75">
      <c r="A32" s="167">
        <f>INDEX(AUXILIAR!$I$2:$I$210,AUXILIAR!$G$48+AUXILIAR!M17)</f>
        <v>35551</v>
      </c>
      <c r="B32" s="168">
        <f>IF(A32&lt;AUXILIAR!$G$51,AUXILIAR!M18,IF(A32=AUXILIAR!$G$51,CONCATENATE(B31+1," y último"),""))</f>
      </c>
      <c r="C32" s="169">
        <v>0</v>
      </c>
      <c r="D32" s="167" t="str">
        <f>IF(AUXILIAR!$D$11=1,"-",A32)</f>
        <v>-</v>
      </c>
      <c r="E32" s="168" t="str">
        <f>IF(AUXILIAR!$D$11=1,"-",B32)</f>
        <v>-</v>
      </c>
      <c r="F32" s="169">
        <v>0</v>
      </c>
      <c r="G32" s="243">
        <f>IF(AUXILIAR!$D$11=1,C32,F32+C32)</f>
        <v>0</v>
      </c>
      <c r="H32" s="243">
        <f t="shared" si="1"/>
        <v>0</v>
      </c>
      <c r="I32" s="159" t="s">
        <v>318</v>
      </c>
      <c r="J32" s="159" t="s">
        <v>318</v>
      </c>
      <c r="K32" s="159" t="s">
        <v>318</v>
      </c>
      <c r="L32" s="159" t="s">
        <v>318</v>
      </c>
      <c r="M32" s="159" t="s">
        <v>318</v>
      </c>
      <c r="N32" s="159" t="s">
        <v>318</v>
      </c>
      <c r="O32" s="159" t="s">
        <v>318</v>
      </c>
      <c r="P32" s="159" t="s">
        <v>318</v>
      </c>
      <c r="Q32" s="159" t="s">
        <v>318</v>
      </c>
      <c r="R32" s="159" t="s">
        <v>318</v>
      </c>
      <c r="S32" s="159" t="s">
        <v>318</v>
      </c>
      <c r="T32" s="159" t="s">
        <v>318</v>
      </c>
      <c r="U32" s="159" t="s">
        <v>318</v>
      </c>
      <c r="V32" s="159" t="s">
        <v>318</v>
      </c>
      <c r="W32" s="159" t="s">
        <v>318</v>
      </c>
      <c r="X32" s="159" t="s">
        <v>318</v>
      </c>
      <c r="Y32" s="159" t="s">
        <v>318</v>
      </c>
      <c r="Z32" s="159" t="s">
        <v>318</v>
      </c>
      <c r="AA32" s="159" t="s">
        <v>318</v>
      </c>
    </row>
    <row r="33" spans="1:27" ht="12.75">
      <c r="A33" s="167">
        <f>INDEX(AUXILIAR!$I$2:$I$210,AUXILIAR!$G$48+AUXILIAR!M18)</f>
        <v>35582</v>
      </c>
      <c r="B33" s="168">
        <f>IF(A33&lt;AUXILIAR!$G$51,AUXILIAR!M19,IF(A33=AUXILIAR!$G$51,CONCATENATE(B32+1," y último"),""))</f>
      </c>
      <c r="C33" s="169">
        <v>0</v>
      </c>
      <c r="D33" s="167" t="str">
        <f>IF(AUXILIAR!$D$11=1,"-",A33)</f>
        <v>-</v>
      </c>
      <c r="E33" s="168" t="str">
        <f>IF(AUXILIAR!$D$11=1,"-",B33)</f>
        <v>-</v>
      </c>
      <c r="F33" s="169">
        <v>0</v>
      </c>
      <c r="G33" s="243">
        <f>IF(AUXILIAR!$D$11=1,C33,F33+C33)</f>
        <v>0</v>
      </c>
      <c r="H33" s="243">
        <f t="shared" si="1"/>
        <v>0</v>
      </c>
      <c r="I33" s="159" t="s">
        <v>318</v>
      </c>
      <c r="J33" s="159" t="s">
        <v>318</v>
      </c>
      <c r="K33" s="159" t="s">
        <v>318</v>
      </c>
      <c r="L33" s="159" t="s">
        <v>318</v>
      </c>
      <c r="M33" s="159" t="s">
        <v>318</v>
      </c>
      <c r="N33" s="159" t="s">
        <v>318</v>
      </c>
      <c r="O33" s="159" t="s">
        <v>318</v>
      </c>
      <c r="P33" s="159" t="s">
        <v>318</v>
      </c>
      <c r="Q33" s="159" t="s">
        <v>318</v>
      </c>
      <c r="R33" s="159" t="s">
        <v>318</v>
      </c>
      <c r="S33" s="159" t="s">
        <v>318</v>
      </c>
      <c r="T33" s="159" t="s">
        <v>318</v>
      </c>
      <c r="U33" s="159" t="s">
        <v>318</v>
      </c>
      <c r="V33" s="159" t="s">
        <v>318</v>
      </c>
      <c r="W33" s="159" t="s">
        <v>318</v>
      </c>
      <c r="X33" s="159" t="s">
        <v>318</v>
      </c>
      <c r="Y33" s="159" t="s">
        <v>318</v>
      </c>
      <c r="Z33" s="159" t="s">
        <v>318</v>
      </c>
      <c r="AA33" s="159" t="s">
        <v>318</v>
      </c>
    </row>
    <row r="34" spans="1:27" ht="12.75">
      <c r="A34" s="167">
        <f>INDEX(AUXILIAR!$I$2:$I$210,AUXILIAR!$G$48+AUXILIAR!M19)</f>
        <v>35612</v>
      </c>
      <c r="B34" s="168">
        <f>IF(A34&lt;AUXILIAR!$G$51,AUXILIAR!M20,IF(A34=AUXILIAR!$G$51,CONCATENATE(B33+1," y último"),""))</f>
      </c>
      <c r="C34" s="169">
        <v>0</v>
      </c>
      <c r="D34" s="167" t="str">
        <f>IF(AUXILIAR!$D$11=1,"-",A34)</f>
        <v>-</v>
      </c>
      <c r="E34" s="168" t="str">
        <f>IF(AUXILIAR!$D$11=1,"-",B34)</f>
        <v>-</v>
      </c>
      <c r="F34" s="169">
        <v>0</v>
      </c>
      <c r="G34" s="243">
        <f>IF(AUXILIAR!$D$11=1,C34,F34+C34)</f>
        <v>0</v>
      </c>
      <c r="H34" s="243">
        <f t="shared" si="1"/>
        <v>0</v>
      </c>
      <c r="I34" s="159" t="s">
        <v>318</v>
      </c>
      <c r="J34" s="159" t="s">
        <v>318</v>
      </c>
      <c r="K34" s="159" t="s">
        <v>318</v>
      </c>
      <c r="L34" s="159" t="s">
        <v>318</v>
      </c>
      <c r="M34" s="159" t="s">
        <v>318</v>
      </c>
      <c r="N34" s="159" t="s">
        <v>318</v>
      </c>
      <c r="O34" s="159" t="s">
        <v>318</v>
      </c>
      <c r="P34" s="159" t="s">
        <v>318</v>
      </c>
      <c r="Q34" s="159" t="s">
        <v>318</v>
      </c>
      <c r="R34" s="159" t="s">
        <v>318</v>
      </c>
      <c r="S34" s="159" t="s">
        <v>318</v>
      </c>
      <c r="T34" s="159" t="s">
        <v>318</v>
      </c>
      <c r="U34" s="159" t="s">
        <v>318</v>
      </c>
      <c r="V34" s="159" t="s">
        <v>318</v>
      </c>
      <c r="W34" s="159" t="s">
        <v>318</v>
      </c>
      <c r="X34" s="159" t="s">
        <v>318</v>
      </c>
      <c r="Y34" s="159" t="s">
        <v>318</v>
      </c>
      <c r="Z34" s="159" t="s">
        <v>318</v>
      </c>
      <c r="AA34" s="159" t="s">
        <v>318</v>
      </c>
    </row>
    <row r="35" spans="1:27" ht="12.75">
      <c r="A35" s="167">
        <f>INDEX(AUXILIAR!$I$2:$I$210,AUXILIAR!$G$48+AUXILIAR!M20)</f>
        <v>35643</v>
      </c>
      <c r="B35" s="168">
        <f>IF(A35&lt;AUXILIAR!$G$51,AUXILIAR!M21,IF(A35=AUXILIAR!$G$51,CONCATENATE(B34+1," y último"),""))</f>
      </c>
      <c r="C35" s="169">
        <v>0</v>
      </c>
      <c r="D35" s="167" t="str">
        <f>IF(AUXILIAR!$D$11=1,"-",A35)</f>
        <v>-</v>
      </c>
      <c r="E35" s="168" t="str">
        <f>IF(AUXILIAR!$D$11=1,"-",B35)</f>
        <v>-</v>
      </c>
      <c r="F35" s="169">
        <v>0</v>
      </c>
      <c r="G35" s="243">
        <f>IF(AUXILIAR!$D$11=1,C35,F35+C35)</f>
        <v>0</v>
      </c>
      <c r="H35" s="243">
        <f>G35+H34</f>
        <v>0</v>
      </c>
      <c r="I35" s="159" t="s">
        <v>318</v>
      </c>
      <c r="J35" s="159" t="s">
        <v>318</v>
      </c>
      <c r="K35" s="159" t="s">
        <v>318</v>
      </c>
      <c r="L35" s="159" t="s">
        <v>318</v>
      </c>
      <c r="M35" s="159" t="s">
        <v>318</v>
      </c>
      <c r="N35" s="159" t="s">
        <v>318</v>
      </c>
      <c r="O35" s="159" t="s">
        <v>318</v>
      </c>
      <c r="P35" s="159" t="s">
        <v>318</v>
      </c>
      <c r="Q35" s="159" t="s">
        <v>318</v>
      </c>
      <c r="R35" s="159" t="s">
        <v>318</v>
      </c>
      <c r="S35" s="159" t="s">
        <v>318</v>
      </c>
      <c r="T35" s="159" t="s">
        <v>318</v>
      </c>
      <c r="U35" s="159" t="s">
        <v>318</v>
      </c>
      <c r="V35" s="159" t="s">
        <v>318</v>
      </c>
      <c r="W35" s="159" t="s">
        <v>318</v>
      </c>
      <c r="X35" s="159" t="s">
        <v>318</v>
      </c>
      <c r="Y35" s="159" t="s">
        <v>318</v>
      </c>
      <c r="Z35" s="159" t="s">
        <v>318</v>
      </c>
      <c r="AA35" s="159" t="s">
        <v>318</v>
      </c>
    </row>
    <row r="36" spans="1:27" ht="12.75">
      <c r="A36" s="167">
        <f>INDEX(AUXILIAR!$I$2:$I$210,AUXILIAR!$G$48+AUXILIAR!M21)</f>
        <v>35674</v>
      </c>
      <c r="B36" s="168">
        <f>IF(A36&lt;AUXILIAR!$G$51,AUXILIAR!M22,IF(A36=AUXILIAR!$G$51,CONCATENATE(B35+1," y último"),""))</f>
      </c>
      <c r="C36" s="169">
        <v>0</v>
      </c>
      <c r="D36" s="167" t="str">
        <f>IF(AUXILIAR!$D$11=1,"-",A36)</f>
        <v>-</v>
      </c>
      <c r="E36" s="168" t="str">
        <f>IF(AUXILIAR!$D$11=1,"-",B36)</f>
        <v>-</v>
      </c>
      <c r="F36" s="169">
        <v>0</v>
      </c>
      <c r="G36" s="243">
        <f>IF(AUXILIAR!$D$11=1,C36,F36+C36)</f>
        <v>0</v>
      </c>
      <c r="H36" s="243">
        <f>G36+H35</f>
        <v>0</v>
      </c>
      <c r="I36" s="159" t="s">
        <v>318</v>
      </c>
      <c r="J36" s="159" t="s">
        <v>318</v>
      </c>
      <c r="K36" s="159" t="s">
        <v>318</v>
      </c>
      <c r="L36" s="159" t="s">
        <v>318</v>
      </c>
      <c r="M36" s="159" t="s">
        <v>318</v>
      </c>
      <c r="N36" s="159" t="s">
        <v>318</v>
      </c>
      <c r="O36" s="159" t="s">
        <v>318</v>
      </c>
      <c r="P36" s="159" t="s">
        <v>318</v>
      </c>
      <c r="Q36" s="159" t="s">
        <v>318</v>
      </c>
      <c r="R36" s="159" t="s">
        <v>318</v>
      </c>
      <c r="S36" s="159" t="s">
        <v>318</v>
      </c>
      <c r="T36" s="159" t="s">
        <v>318</v>
      </c>
      <c r="U36" s="159" t="s">
        <v>318</v>
      </c>
      <c r="V36" s="159" t="s">
        <v>318</v>
      </c>
      <c r="W36" s="159" t="s">
        <v>318</v>
      </c>
      <c r="X36" s="159" t="s">
        <v>318</v>
      </c>
      <c r="Y36" s="159" t="s">
        <v>318</v>
      </c>
      <c r="Z36" s="159" t="s">
        <v>318</v>
      </c>
      <c r="AA36" s="159" t="s">
        <v>318</v>
      </c>
    </row>
    <row r="37" spans="1:27" ht="12.75">
      <c r="A37" s="167">
        <f>INDEX(AUXILIAR!$I$2:$I$210,AUXILIAR!$G$48+AUXILIAR!M22)</f>
        <v>35704</v>
      </c>
      <c r="B37" s="168">
        <f>IF(A37&lt;AUXILIAR!$G$51,AUXILIAR!M23,IF(A37=AUXILIAR!$G$51,CONCATENATE(B36+1," y último"),""))</f>
      </c>
      <c r="C37" s="169">
        <v>0</v>
      </c>
      <c r="D37" s="167" t="str">
        <f>IF(AUXILIAR!$D$11=1,"-",A37)</f>
        <v>-</v>
      </c>
      <c r="E37" s="168" t="str">
        <f>IF(AUXILIAR!$D$11=1,"-",B37)</f>
        <v>-</v>
      </c>
      <c r="F37" s="169">
        <v>0</v>
      </c>
      <c r="G37" s="243">
        <f>IF(AUXILIAR!$D$11=1,C37,F37+C37)</f>
        <v>0</v>
      </c>
      <c r="H37" s="243">
        <f>G37+H36</f>
        <v>0</v>
      </c>
      <c r="I37" s="159" t="s">
        <v>318</v>
      </c>
      <c r="J37" s="159" t="s">
        <v>318</v>
      </c>
      <c r="K37" s="159" t="s">
        <v>318</v>
      </c>
      <c r="L37" s="159" t="s">
        <v>318</v>
      </c>
      <c r="M37" s="159" t="s">
        <v>318</v>
      </c>
      <c r="N37" s="159" t="s">
        <v>318</v>
      </c>
      <c r="O37" s="159" t="s">
        <v>318</v>
      </c>
      <c r="P37" s="159" t="s">
        <v>318</v>
      </c>
      <c r="Q37" s="159" t="s">
        <v>318</v>
      </c>
      <c r="R37" s="159" t="s">
        <v>318</v>
      </c>
      <c r="S37" s="159" t="s">
        <v>318</v>
      </c>
      <c r="T37" s="159" t="s">
        <v>318</v>
      </c>
      <c r="U37" s="159" t="s">
        <v>318</v>
      </c>
      <c r="V37" s="159" t="s">
        <v>318</v>
      </c>
      <c r="W37" s="159" t="s">
        <v>318</v>
      </c>
      <c r="X37" s="159" t="s">
        <v>318</v>
      </c>
      <c r="Y37" s="159" t="s">
        <v>318</v>
      </c>
      <c r="Z37" s="159" t="s">
        <v>318</v>
      </c>
      <c r="AA37" s="159" t="s">
        <v>318</v>
      </c>
    </row>
    <row r="38" spans="1:27" ht="12.75">
      <c r="A38" s="167">
        <f>INDEX(AUXILIAR!$I$2:$I$210,AUXILIAR!$G$48+AUXILIAR!M23)</f>
        <v>35735</v>
      </c>
      <c r="B38" s="168">
        <f>IF(A38&lt;AUXILIAR!$G$51,AUXILIAR!M24,IF(A38=AUXILIAR!$G$51,CONCATENATE(B37+1," y último"),""))</f>
      </c>
      <c r="C38" s="169">
        <v>0</v>
      </c>
      <c r="D38" s="167" t="str">
        <f>IF(AUXILIAR!$D$11=1,"-",A38)</f>
        <v>-</v>
      </c>
      <c r="E38" s="168" t="str">
        <f>IF(AUXILIAR!$D$11=1,"-",B38)</f>
        <v>-</v>
      </c>
      <c r="F38" s="169">
        <v>0</v>
      </c>
      <c r="G38" s="243">
        <f>IF(AUXILIAR!$D$11=1,C38,F38+C38)</f>
        <v>0</v>
      </c>
      <c r="H38" s="243">
        <f aca="true" t="shared" si="2" ref="H38:H47">G38+H37</f>
        <v>0</v>
      </c>
      <c r="I38" s="159" t="s">
        <v>318</v>
      </c>
      <c r="J38" s="159" t="s">
        <v>318</v>
      </c>
      <c r="K38" s="159" t="s">
        <v>318</v>
      </c>
      <c r="L38" s="159" t="s">
        <v>318</v>
      </c>
      <c r="M38" s="159" t="s">
        <v>318</v>
      </c>
      <c r="N38" s="159" t="s">
        <v>318</v>
      </c>
      <c r="O38" s="159" t="s">
        <v>318</v>
      </c>
      <c r="P38" s="159" t="s">
        <v>318</v>
      </c>
      <c r="Q38" s="159" t="s">
        <v>318</v>
      </c>
      <c r="R38" s="159" t="s">
        <v>318</v>
      </c>
      <c r="S38" s="159" t="s">
        <v>318</v>
      </c>
      <c r="T38" s="159" t="s">
        <v>318</v>
      </c>
      <c r="U38" s="159" t="s">
        <v>318</v>
      </c>
      <c r="V38" s="159" t="s">
        <v>318</v>
      </c>
      <c r="W38" s="159" t="s">
        <v>318</v>
      </c>
      <c r="X38" s="159" t="s">
        <v>318</v>
      </c>
      <c r="Y38" s="159" t="s">
        <v>318</v>
      </c>
      <c r="Z38" s="159" t="s">
        <v>318</v>
      </c>
      <c r="AA38" s="159" t="s">
        <v>318</v>
      </c>
    </row>
    <row r="39" spans="1:27" ht="12.75">
      <c r="A39" s="167">
        <f>INDEX(AUXILIAR!$I$2:$I$210,AUXILIAR!$G$48+AUXILIAR!M24)</f>
        <v>35765</v>
      </c>
      <c r="B39" s="168">
        <f>IF(A39&lt;AUXILIAR!$G$51,AUXILIAR!M25,IF(A39=AUXILIAR!$G$51,CONCATENATE(B38+1," y último"),""))</f>
      </c>
      <c r="C39" s="169">
        <v>0</v>
      </c>
      <c r="D39" s="167" t="str">
        <f>IF(AUXILIAR!$D$11=1,"-",A39)</f>
        <v>-</v>
      </c>
      <c r="E39" s="168" t="str">
        <f>IF(AUXILIAR!$D$11=1,"-",B39)</f>
        <v>-</v>
      </c>
      <c r="F39" s="169">
        <v>0</v>
      </c>
      <c r="G39" s="243">
        <f>IF(AUXILIAR!$D$11=1,C39,F39+C39)</f>
        <v>0</v>
      </c>
      <c r="H39" s="243">
        <f t="shared" si="2"/>
        <v>0</v>
      </c>
      <c r="I39" s="159" t="s">
        <v>318</v>
      </c>
      <c r="J39" s="159" t="s">
        <v>318</v>
      </c>
      <c r="K39" s="159" t="s">
        <v>318</v>
      </c>
      <c r="L39" s="159" t="s">
        <v>318</v>
      </c>
      <c r="M39" s="159" t="s">
        <v>318</v>
      </c>
      <c r="N39" s="159" t="s">
        <v>318</v>
      </c>
      <c r="O39" s="159" t="s">
        <v>318</v>
      </c>
      <c r="P39" s="159" t="s">
        <v>318</v>
      </c>
      <c r="Q39" s="159" t="s">
        <v>318</v>
      </c>
      <c r="R39" s="159" t="s">
        <v>318</v>
      </c>
      <c r="S39" s="159" t="s">
        <v>318</v>
      </c>
      <c r="T39" s="159" t="s">
        <v>318</v>
      </c>
      <c r="U39" s="159" t="s">
        <v>318</v>
      </c>
      <c r="V39" s="159" t="s">
        <v>318</v>
      </c>
      <c r="W39" s="159" t="s">
        <v>318</v>
      </c>
      <c r="X39" s="159" t="s">
        <v>318</v>
      </c>
      <c r="Y39" s="159" t="s">
        <v>318</v>
      </c>
      <c r="Z39" s="159" t="s">
        <v>318</v>
      </c>
      <c r="AA39" s="159" t="s">
        <v>318</v>
      </c>
    </row>
    <row r="40" spans="1:27" ht="12.75">
      <c r="A40" s="167">
        <f>INDEX(AUXILIAR!$I$2:$I$210,AUXILIAR!$G$48+AUXILIAR!M25)</f>
        <v>35796</v>
      </c>
      <c r="B40" s="168">
        <f>IF(A40&lt;AUXILIAR!$G$51,AUXILIAR!M26,IF(A40=AUXILIAR!$G$51,CONCATENATE(B39+1," y último"),""))</f>
      </c>
      <c r="C40" s="169">
        <v>0</v>
      </c>
      <c r="D40" s="167" t="str">
        <f>IF(AUXILIAR!$D$11=1,"-",A40)</f>
        <v>-</v>
      </c>
      <c r="E40" s="168" t="str">
        <f>IF(AUXILIAR!$D$11=1,"-",B40)</f>
        <v>-</v>
      </c>
      <c r="F40" s="169">
        <v>0</v>
      </c>
      <c r="G40" s="243">
        <f>IF(AUXILIAR!$D$11=1,C40,F40+C40)</f>
        <v>0</v>
      </c>
      <c r="H40" s="243">
        <f t="shared" si="2"/>
        <v>0</v>
      </c>
      <c r="I40" s="159" t="s">
        <v>318</v>
      </c>
      <c r="J40" s="159" t="s">
        <v>318</v>
      </c>
      <c r="K40" s="159" t="s">
        <v>318</v>
      </c>
      <c r="L40" s="159" t="s">
        <v>318</v>
      </c>
      <c r="M40" s="159" t="s">
        <v>318</v>
      </c>
      <c r="N40" s="159" t="s">
        <v>318</v>
      </c>
      <c r="O40" s="159" t="s">
        <v>318</v>
      </c>
      <c r="P40" s="159" t="s">
        <v>318</v>
      </c>
      <c r="Q40" s="159" t="s">
        <v>318</v>
      </c>
      <c r="R40" s="159" t="s">
        <v>318</v>
      </c>
      <c r="S40" s="159" t="s">
        <v>318</v>
      </c>
      <c r="T40" s="159" t="s">
        <v>318</v>
      </c>
      <c r="U40" s="159" t="s">
        <v>318</v>
      </c>
      <c r="V40" s="159" t="s">
        <v>318</v>
      </c>
      <c r="W40" s="159" t="s">
        <v>318</v>
      </c>
      <c r="X40" s="159" t="s">
        <v>318</v>
      </c>
      <c r="Y40" s="159" t="s">
        <v>318</v>
      </c>
      <c r="Z40" s="159" t="s">
        <v>318</v>
      </c>
      <c r="AA40" s="159" t="s">
        <v>318</v>
      </c>
    </row>
    <row r="41" spans="1:27" ht="12.75">
      <c r="A41" s="167">
        <f>INDEX(AUXILIAR!$I$2:$I$210,AUXILIAR!$G$48+AUXILIAR!M26)</f>
        <v>35827</v>
      </c>
      <c r="B41" s="168">
        <f>IF(A41&lt;AUXILIAR!$G$51,AUXILIAR!M27,IF(A41=AUXILIAR!$G$51,CONCATENATE(B40+1," y último"),""))</f>
      </c>
      <c r="C41" s="169">
        <v>0</v>
      </c>
      <c r="D41" s="167" t="str">
        <f>IF(AUXILIAR!$D$11=1,"-",A41)</f>
        <v>-</v>
      </c>
      <c r="E41" s="168" t="str">
        <f>IF(AUXILIAR!$D$11=1,"-",B41)</f>
        <v>-</v>
      </c>
      <c r="F41" s="169">
        <v>0</v>
      </c>
      <c r="G41" s="243">
        <f>IF(AUXILIAR!$D$11=1,C41,F41+C41)</f>
        <v>0</v>
      </c>
      <c r="H41" s="243">
        <f t="shared" si="2"/>
        <v>0</v>
      </c>
      <c r="I41" s="159" t="s">
        <v>318</v>
      </c>
      <c r="J41" s="159" t="s">
        <v>318</v>
      </c>
      <c r="K41" s="159" t="s">
        <v>318</v>
      </c>
      <c r="L41" s="159" t="s">
        <v>318</v>
      </c>
      <c r="M41" s="159" t="s">
        <v>318</v>
      </c>
      <c r="N41" s="159" t="s">
        <v>318</v>
      </c>
      <c r="O41" s="159" t="s">
        <v>318</v>
      </c>
      <c r="P41" s="159" t="s">
        <v>318</v>
      </c>
      <c r="Q41" s="159" t="s">
        <v>318</v>
      </c>
      <c r="R41" s="159" t="s">
        <v>318</v>
      </c>
      <c r="S41" s="159" t="s">
        <v>318</v>
      </c>
      <c r="T41" s="159" t="s">
        <v>318</v>
      </c>
      <c r="U41" s="159" t="s">
        <v>318</v>
      </c>
      <c r="V41" s="159" t="s">
        <v>318</v>
      </c>
      <c r="W41" s="159" t="s">
        <v>318</v>
      </c>
      <c r="X41" s="159" t="s">
        <v>318</v>
      </c>
      <c r="Y41" s="159" t="s">
        <v>318</v>
      </c>
      <c r="Z41" s="159" t="s">
        <v>318</v>
      </c>
      <c r="AA41" s="159" t="s">
        <v>318</v>
      </c>
    </row>
    <row r="42" spans="1:27" ht="12.75">
      <c r="A42" s="167">
        <f>INDEX(AUXILIAR!$I$2:$I$210,AUXILIAR!$G$48+AUXILIAR!M27)</f>
        <v>35855</v>
      </c>
      <c r="B42" s="168">
        <f>IF(A42&lt;AUXILIAR!$G$51,AUXILIAR!M28,IF(A42=AUXILIAR!$G$51,CONCATENATE(B41+1," y último"),""))</f>
      </c>
      <c r="C42" s="169">
        <v>0</v>
      </c>
      <c r="D42" s="167" t="str">
        <f>IF(AUXILIAR!$D$11=1,"-",A42)</f>
        <v>-</v>
      </c>
      <c r="E42" s="168" t="str">
        <f>IF(AUXILIAR!$D$11=1,"-",B42)</f>
        <v>-</v>
      </c>
      <c r="F42" s="169">
        <v>0</v>
      </c>
      <c r="G42" s="243">
        <f>IF(AUXILIAR!$D$11=1,C42,F42+C42)</f>
        <v>0</v>
      </c>
      <c r="H42" s="243">
        <f t="shared" si="2"/>
        <v>0</v>
      </c>
      <c r="I42" s="159" t="s">
        <v>318</v>
      </c>
      <c r="J42" s="159" t="s">
        <v>318</v>
      </c>
      <c r="K42" s="159" t="s">
        <v>318</v>
      </c>
      <c r="L42" s="159" t="s">
        <v>318</v>
      </c>
      <c r="M42" s="159" t="s">
        <v>318</v>
      </c>
      <c r="N42" s="159" t="s">
        <v>318</v>
      </c>
      <c r="O42" s="159" t="s">
        <v>318</v>
      </c>
      <c r="P42" s="159" t="s">
        <v>318</v>
      </c>
      <c r="Q42" s="159" t="s">
        <v>318</v>
      </c>
      <c r="R42" s="159" t="s">
        <v>318</v>
      </c>
      <c r="S42" s="159" t="s">
        <v>318</v>
      </c>
      <c r="T42" s="159" t="s">
        <v>318</v>
      </c>
      <c r="U42" s="159" t="s">
        <v>318</v>
      </c>
      <c r="V42" s="159" t="s">
        <v>318</v>
      </c>
      <c r="W42" s="159" t="s">
        <v>318</v>
      </c>
      <c r="X42" s="159" t="s">
        <v>318</v>
      </c>
      <c r="Y42" s="159" t="s">
        <v>318</v>
      </c>
      <c r="Z42" s="159" t="s">
        <v>318</v>
      </c>
      <c r="AA42" s="159" t="s">
        <v>318</v>
      </c>
    </row>
    <row r="43" spans="1:27" ht="12.75">
      <c r="A43" s="167">
        <f>INDEX(AUXILIAR!$I$2:$I$210,AUXILIAR!$G$48+AUXILIAR!M28)</f>
        <v>35886</v>
      </c>
      <c r="B43" s="168">
        <f>IF(A43&lt;AUXILIAR!$G$51,AUXILIAR!M29,IF(A43=AUXILIAR!$G$51,CONCATENATE(B42+1," y último"),""))</f>
      </c>
      <c r="C43" s="169">
        <v>0</v>
      </c>
      <c r="D43" s="167" t="str">
        <f>IF(AUXILIAR!$D$11=1,"-",A43)</f>
        <v>-</v>
      </c>
      <c r="E43" s="168" t="str">
        <f>IF(AUXILIAR!$D$11=1,"-",B43)</f>
        <v>-</v>
      </c>
      <c r="F43" s="169">
        <v>0</v>
      </c>
      <c r="G43" s="243">
        <f>IF(AUXILIAR!$D$11=1,C43,F43+C43)</f>
        <v>0</v>
      </c>
      <c r="H43" s="243">
        <f t="shared" si="2"/>
        <v>0</v>
      </c>
      <c r="I43" s="159" t="s">
        <v>318</v>
      </c>
      <c r="J43" s="159" t="s">
        <v>318</v>
      </c>
      <c r="K43" s="159" t="s">
        <v>318</v>
      </c>
      <c r="L43" s="159" t="s">
        <v>318</v>
      </c>
      <c r="M43" s="159" t="s">
        <v>318</v>
      </c>
      <c r="N43" s="159" t="s">
        <v>318</v>
      </c>
      <c r="O43" s="159" t="s">
        <v>318</v>
      </c>
      <c r="P43" s="159" t="s">
        <v>318</v>
      </c>
      <c r="Q43" s="159" t="s">
        <v>318</v>
      </c>
      <c r="R43" s="159" t="s">
        <v>318</v>
      </c>
      <c r="S43" s="159" t="s">
        <v>318</v>
      </c>
      <c r="T43" s="159" t="s">
        <v>318</v>
      </c>
      <c r="U43" s="159" t="s">
        <v>318</v>
      </c>
      <c r="V43" s="159" t="s">
        <v>318</v>
      </c>
      <c r="W43" s="159" t="s">
        <v>318</v>
      </c>
      <c r="X43" s="159" t="s">
        <v>318</v>
      </c>
      <c r="Y43" s="159" t="s">
        <v>318</v>
      </c>
      <c r="Z43" s="159" t="s">
        <v>318</v>
      </c>
      <c r="AA43" s="159" t="s">
        <v>318</v>
      </c>
    </row>
    <row r="44" spans="1:27" ht="12.75">
      <c r="A44" s="167">
        <f>INDEX(AUXILIAR!$I$2:$I$210,AUXILIAR!$G$48+AUXILIAR!M29)</f>
        <v>35916</v>
      </c>
      <c r="B44" s="168">
        <f>IF(A44&lt;AUXILIAR!$G$51,AUXILIAR!M30,IF(A44=AUXILIAR!$G$51,CONCATENATE(B43+1," y último"),""))</f>
      </c>
      <c r="C44" s="169">
        <v>0</v>
      </c>
      <c r="D44" s="167" t="str">
        <f>IF(AUXILIAR!$D$11=1,"-",A44)</f>
        <v>-</v>
      </c>
      <c r="E44" s="168" t="str">
        <f>IF(AUXILIAR!$D$11=1,"-",B44)</f>
        <v>-</v>
      </c>
      <c r="F44" s="169">
        <v>0</v>
      </c>
      <c r="G44" s="243">
        <f>IF(AUXILIAR!$D$11=1,C44,F44+C44)</f>
        <v>0</v>
      </c>
      <c r="H44" s="243">
        <f t="shared" si="2"/>
        <v>0</v>
      </c>
      <c r="I44" s="159" t="s">
        <v>318</v>
      </c>
      <c r="J44" s="159" t="s">
        <v>318</v>
      </c>
      <c r="K44" s="159" t="s">
        <v>318</v>
      </c>
      <c r="L44" s="159" t="s">
        <v>318</v>
      </c>
      <c r="M44" s="159" t="s">
        <v>318</v>
      </c>
      <c r="N44" s="159" t="s">
        <v>318</v>
      </c>
      <c r="O44" s="159" t="s">
        <v>318</v>
      </c>
      <c r="P44" s="159" t="s">
        <v>318</v>
      </c>
      <c r="Q44" s="159" t="s">
        <v>318</v>
      </c>
      <c r="R44" s="159" t="s">
        <v>318</v>
      </c>
      <c r="S44" s="159" t="s">
        <v>318</v>
      </c>
      <c r="T44" s="159" t="s">
        <v>318</v>
      </c>
      <c r="U44" s="159" t="s">
        <v>318</v>
      </c>
      <c r="V44" s="159" t="s">
        <v>318</v>
      </c>
      <c r="W44" s="159" t="s">
        <v>318</v>
      </c>
      <c r="X44" s="159" t="s">
        <v>318</v>
      </c>
      <c r="Y44" s="159" t="s">
        <v>318</v>
      </c>
      <c r="Z44" s="159" t="s">
        <v>318</v>
      </c>
      <c r="AA44" s="159" t="s">
        <v>318</v>
      </c>
    </row>
    <row r="45" spans="1:27" ht="12.75">
      <c r="A45" s="167">
        <f>INDEX(AUXILIAR!$I$2:$I$210,AUXILIAR!$G$48+AUXILIAR!M30)</f>
        <v>35947</v>
      </c>
      <c r="B45" s="168">
        <f>IF(A45&lt;AUXILIAR!$G$51,AUXILIAR!M31,IF(A45=AUXILIAR!$G$51,CONCATENATE(B44+1," y último"),""))</f>
      </c>
      <c r="C45" s="169">
        <v>0</v>
      </c>
      <c r="D45" s="167" t="str">
        <f>IF(AUXILIAR!$D$11=1,"-",A45)</f>
        <v>-</v>
      </c>
      <c r="E45" s="168" t="str">
        <f>IF(AUXILIAR!$D$11=1,"-",B45)</f>
        <v>-</v>
      </c>
      <c r="F45" s="169">
        <v>0</v>
      </c>
      <c r="G45" s="243">
        <f>IF(AUXILIAR!$D$11=1,C45,F45+C45)</f>
        <v>0</v>
      </c>
      <c r="H45" s="243">
        <f t="shared" si="2"/>
        <v>0</v>
      </c>
      <c r="I45" s="159" t="s">
        <v>318</v>
      </c>
      <c r="J45" s="159" t="s">
        <v>318</v>
      </c>
      <c r="K45" s="159" t="s">
        <v>318</v>
      </c>
      <c r="L45" s="159" t="s">
        <v>318</v>
      </c>
      <c r="M45" s="159" t="s">
        <v>318</v>
      </c>
      <c r="N45" s="159" t="s">
        <v>318</v>
      </c>
      <c r="O45" s="159" t="s">
        <v>318</v>
      </c>
      <c r="P45" s="159" t="s">
        <v>318</v>
      </c>
      <c r="Q45" s="159" t="s">
        <v>318</v>
      </c>
      <c r="R45" s="159" t="s">
        <v>318</v>
      </c>
      <c r="S45" s="159" t="s">
        <v>318</v>
      </c>
      <c r="T45" s="159" t="s">
        <v>318</v>
      </c>
      <c r="U45" s="159" t="s">
        <v>318</v>
      </c>
      <c r="V45" s="159" t="s">
        <v>318</v>
      </c>
      <c r="W45" s="159" t="s">
        <v>318</v>
      </c>
      <c r="X45" s="159" t="s">
        <v>318</v>
      </c>
      <c r="Y45" s="159" t="s">
        <v>318</v>
      </c>
      <c r="Z45" s="159" t="s">
        <v>318</v>
      </c>
      <c r="AA45" s="159" t="s">
        <v>318</v>
      </c>
    </row>
    <row r="46" spans="1:27" ht="12.75">
      <c r="A46" s="167">
        <f>INDEX(AUXILIAR!$I$2:$I$210,AUXILIAR!$G$48+AUXILIAR!M31)</f>
        <v>35977</v>
      </c>
      <c r="B46" s="168">
        <f>IF(A46&lt;AUXILIAR!$G$51,AUXILIAR!M32,IF(A46=AUXILIAR!$G$51,CONCATENATE(B45+1," y último"),""))</f>
      </c>
      <c r="C46" s="169">
        <v>0</v>
      </c>
      <c r="D46" s="167" t="str">
        <f>IF(AUXILIAR!$D$11=1,"-",A46)</f>
        <v>-</v>
      </c>
      <c r="E46" s="168" t="str">
        <f>IF(AUXILIAR!$D$11=1,"-",B46)</f>
        <v>-</v>
      </c>
      <c r="F46" s="169">
        <v>0</v>
      </c>
      <c r="G46" s="243">
        <f>IF(AUXILIAR!$D$11=1,C46,F46+C46)</f>
        <v>0</v>
      </c>
      <c r="H46" s="243">
        <f t="shared" si="2"/>
        <v>0</v>
      </c>
      <c r="I46" s="159" t="s">
        <v>318</v>
      </c>
      <c r="J46" s="159" t="s">
        <v>318</v>
      </c>
      <c r="K46" s="159" t="s">
        <v>318</v>
      </c>
      <c r="L46" s="159" t="s">
        <v>318</v>
      </c>
      <c r="M46" s="159" t="s">
        <v>318</v>
      </c>
      <c r="N46" s="159" t="s">
        <v>318</v>
      </c>
      <c r="O46" s="159" t="s">
        <v>318</v>
      </c>
      <c r="P46" s="159" t="s">
        <v>318</v>
      </c>
      <c r="Q46" s="159" t="s">
        <v>318</v>
      </c>
      <c r="R46" s="159" t="s">
        <v>318</v>
      </c>
      <c r="S46" s="159" t="s">
        <v>318</v>
      </c>
      <c r="T46" s="159" t="s">
        <v>318</v>
      </c>
      <c r="U46" s="159" t="s">
        <v>318</v>
      </c>
      <c r="V46" s="159" t="s">
        <v>318</v>
      </c>
      <c r="W46" s="159" t="s">
        <v>318</v>
      </c>
      <c r="X46" s="159" t="s">
        <v>318</v>
      </c>
      <c r="Y46" s="159" t="s">
        <v>318</v>
      </c>
      <c r="Z46" s="159" t="s">
        <v>318</v>
      </c>
      <c r="AA46" s="159" t="s">
        <v>318</v>
      </c>
    </row>
    <row r="47" spans="1:27" ht="12.75">
      <c r="A47" s="167">
        <f>INDEX(AUXILIAR!$I$2:$I$210,AUXILIAR!$G$48+AUXILIAR!M32)</f>
        <v>36008</v>
      </c>
      <c r="B47" s="168">
        <f>IF(A47&lt;AUXILIAR!$G$51,AUXILIAR!M33,IF(A47=AUXILIAR!$G$51,CONCATENATE(B46+1," y último"),""))</f>
      </c>
      <c r="C47" s="169">
        <v>0</v>
      </c>
      <c r="D47" s="167" t="str">
        <f>IF(AUXILIAR!$D$11=1,"-",A47)</f>
        <v>-</v>
      </c>
      <c r="E47" s="168" t="str">
        <f>IF(AUXILIAR!$D$11=1,"-",B47)</f>
        <v>-</v>
      </c>
      <c r="F47" s="169">
        <v>0</v>
      </c>
      <c r="G47" s="243">
        <f>IF(AUXILIAR!$D$11=1,C47,F47+C47)</f>
        <v>0</v>
      </c>
      <c r="H47" s="243">
        <f t="shared" si="2"/>
        <v>0</v>
      </c>
      <c r="I47" s="159" t="s">
        <v>318</v>
      </c>
      <c r="J47" s="159" t="s">
        <v>318</v>
      </c>
      <c r="K47" s="159" t="s">
        <v>318</v>
      </c>
      <c r="L47" s="159" t="s">
        <v>318</v>
      </c>
      <c r="M47" s="159" t="s">
        <v>318</v>
      </c>
      <c r="N47" s="159" t="s">
        <v>318</v>
      </c>
      <c r="O47" s="159" t="s">
        <v>318</v>
      </c>
      <c r="P47" s="159" t="s">
        <v>318</v>
      </c>
      <c r="Q47" s="159" t="s">
        <v>318</v>
      </c>
      <c r="R47" s="159" t="s">
        <v>318</v>
      </c>
      <c r="S47" s="159" t="s">
        <v>318</v>
      </c>
      <c r="T47" s="159" t="s">
        <v>318</v>
      </c>
      <c r="U47" s="159" t="s">
        <v>318</v>
      </c>
      <c r="V47" s="159" t="s">
        <v>318</v>
      </c>
      <c r="W47" s="159" t="s">
        <v>318</v>
      </c>
      <c r="X47" s="159" t="s">
        <v>318</v>
      </c>
      <c r="Y47" s="159" t="s">
        <v>318</v>
      </c>
      <c r="Z47" s="159" t="s">
        <v>318</v>
      </c>
      <c r="AA47" s="159" t="s">
        <v>318</v>
      </c>
    </row>
    <row r="48" spans="1:27" ht="12.75">
      <c r="A48" s="167">
        <f>INDEX(AUXILIAR!$I$2:$I$210,AUXILIAR!$G$48+AUXILIAR!M33)</f>
        <v>36039</v>
      </c>
      <c r="B48" s="168">
        <f>IF(A48&lt;AUXILIAR!$G$51,AUXILIAR!M34,IF(A48=AUXILIAR!$G$51,CONCATENATE(B47+1," y último"),""))</f>
      </c>
      <c r="C48" s="169">
        <v>0</v>
      </c>
      <c r="D48" s="167" t="str">
        <f>IF(AUXILIAR!$D$11=1,"-",A48)</f>
        <v>-</v>
      </c>
      <c r="E48" s="168" t="str">
        <f>IF(AUXILIAR!$D$11=1,"-",B48)</f>
        <v>-</v>
      </c>
      <c r="F48" s="169">
        <v>0</v>
      </c>
      <c r="G48" s="243">
        <f>IF(AUXILIAR!$D$11=1,C48,F48+C48)</f>
        <v>0</v>
      </c>
      <c r="H48" s="243">
        <f>G48+H47</f>
        <v>0</v>
      </c>
      <c r="I48" s="159" t="s">
        <v>318</v>
      </c>
      <c r="J48" s="159" t="s">
        <v>318</v>
      </c>
      <c r="K48" s="159" t="s">
        <v>318</v>
      </c>
      <c r="L48" s="159" t="s">
        <v>318</v>
      </c>
      <c r="M48" s="159" t="s">
        <v>318</v>
      </c>
      <c r="N48" s="159" t="s">
        <v>318</v>
      </c>
      <c r="O48" s="159" t="s">
        <v>318</v>
      </c>
      <c r="P48" s="159" t="s">
        <v>318</v>
      </c>
      <c r="Q48" s="159" t="s">
        <v>318</v>
      </c>
      <c r="R48" s="159" t="s">
        <v>318</v>
      </c>
      <c r="S48" s="159" t="s">
        <v>318</v>
      </c>
      <c r="T48" s="159" t="s">
        <v>318</v>
      </c>
      <c r="U48" s="159" t="s">
        <v>318</v>
      </c>
      <c r="V48" s="159" t="s">
        <v>318</v>
      </c>
      <c r="W48" s="159" t="s">
        <v>318</v>
      </c>
      <c r="X48" s="159" t="s">
        <v>318</v>
      </c>
      <c r="Y48" s="159" t="s">
        <v>318</v>
      </c>
      <c r="Z48" s="159" t="s">
        <v>318</v>
      </c>
      <c r="AA48" s="159" t="s">
        <v>318</v>
      </c>
    </row>
    <row r="49" spans="1:27" ht="12.75">
      <c r="A49" s="167">
        <f>INDEX(AUXILIAR!$I$2:$I$210,AUXILIAR!$G$48+AUXILIAR!M34)</f>
        <v>36069</v>
      </c>
      <c r="B49" s="168">
        <f>IF(A49&lt;AUXILIAR!$G$51,AUXILIAR!M35,IF(A49=AUXILIAR!$G$51,CONCATENATE(B48+1," y último"),""))</f>
      </c>
      <c r="C49" s="169">
        <v>0</v>
      </c>
      <c r="D49" s="167" t="str">
        <f>IF(AUXILIAR!$D$11=1,"-",A49)</f>
        <v>-</v>
      </c>
      <c r="E49" s="168" t="str">
        <f>IF(AUXILIAR!$D$11=1,"-",B49)</f>
        <v>-</v>
      </c>
      <c r="F49" s="169">
        <v>0</v>
      </c>
      <c r="G49" s="243">
        <f>IF(AUXILIAR!$D$11=1,C49,F49+C49)</f>
        <v>0</v>
      </c>
      <c r="H49" s="243">
        <f>G49+H48</f>
        <v>0</v>
      </c>
      <c r="I49" s="159" t="s">
        <v>318</v>
      </c>
      <c r="J49" s="159" t="s">
        <v>318</v>
      </c>
      <c r="K49" s="159" t="s">
        <v>318</v>
      </c>
      <c r="L49" s="159" t="s">
        <v>318</v>
      </c>
      <c r="M49" s="159" t="s">
        <v>318</v>
      </c>
      <c r="N49" s="159" t="s">
        <v>318</v>
      </c>
      <c r="O49" s="159" t="s">
        <v>318</v>
      </c>
      <c r="P49" s="159" t="s">
        <v>318</v>
      </c>
      <c r="Q49" s="159" t="s">
        <v>318</v>
      </c>
      <c r="R49" s="159" t="s">
        <v>318</v>
      </c>
      <c r="S49" s="159" t="s">
        <v>318</v>
      </c>
      <c r="T49" s="159" t="s">
        <v>318</v>
      </c>
      <c r="U49" s="159" t="s">
        <v>318</v>
      </c>
      <c r="V49" s="159" t="s">
        <v>318</v>
      </c>
      <c r="W49" s="159" t="s">
        <v>318</v>
      </c>
      <c r="X49" s="159" t="s">
        <v>318</v>
      </c>
      <c r="Y49" s="159" t="s">
        <v>318</v>
      </c>
      <c r="Z49" s="159" t="s">
        <v>318</v>
      </c>
      <c r="AA49" s="159" t="s">
        <v>318</v>
      </c>
    </row>
    <row r="50" spans="1:27" ht="12.75">
      <c r="A50" s="167">
        <f>INDEX(AUXILIAR!$I$2:$I$210,AUXILIAR!$G$48+AUXILIAR!M35)</f>
        <v>36100</v>
      </c>
      <c r="B50" s="168">
        <f>IF(A50&lt;AUXILIAR!$G$51,AUXILIAR!M36,IF(A50=AUXILIAR!$G$51,CONCATENATE(B49+1," y último"),""))</f>
      </c>
      <c r="C50" s="169">
        <v>0</v>
      </c>
      <c r="D50" s="167" t="str">
        <f>IF(AUXILIAR!$D$11=1,"-",A50)</f>
        <v>-</v>
      </c>
      <c r="E50" s="168" t="str">
        <f>IF(AUXILIAR!$D$11=1,"-",B50)</f>
        <v>-</v>
      </c>
      <c r="F50" s="169">
        <v>0</v>
      </c>
      <c r="G50" s="243">
        <f>IF(AUXILIAR!$D$11=1,C50,F50+C50)</f>
        <v>0</v>
      </c>
      <c r="H50" s="243">
        <f>G50+H49</f>
        <v>0</v>
      </c>
      <c r="I50" s="159" t="s">
        <v>318</v>
      </c>
      <c r="J50" s="159" t="s">
        <v>318</v>
      </c>
      <c r="K50" s="159" t="s">
        <v>318</v>
      </c>
      <c r="L50" s="159" t="s">
        <v>318</v>
      </c>
      <c r="M50" s="159" t="s">
        <v>318</v>
      </c>
      <c r="N50" s="159" t="s">
        <v>318</v>
      </c>
      <c r="O50" s="159" t="s">
        <v>318</v>
      </c>
      <c r="P50" s="159" t="s">
        <v>318</v>
      </c>
      <c r="Q50" s="159" t="s">
        <v>318</v>
      </c>
      <c r="R50" s="159" t="s">
        <v>318</v>
      </c>
      <c r="S50" s="159" t="s">
        <v>318</v>
      </c>
      <c r="T50" s="159" t="s">
        <v>318</v>
      </c>
      <c r="U50" s="159" t="s">
        <v>318</v>
      </c>
      <c r="V50" s="159" t="s">
        <v>318</v>
      </c>
      <c r="W50" s="159" t="s">
        <v>318</v>
      </c>
      <c r="X50" s="159" t="s">
        <v>318</v>
      </c>
      <c r="Y50" s="159" t="s">
        <v>318</v>
      </c>
      <c r="Z50" s="159" t="s">
        <v>318</v>
      </c>
      <c r="AA50" s="159" t="s">
        <v>318</v>
      </c>
    </row>
    <row r="51" spans="1:27" ht="12.75">
      <c r="A51" s="167">
        <f>INDEX(AUXILIAR!$I$2:$I$210,AUXILIAR!$G$48+AUXILIAR!M36)</f>
        <v>36130</v>
      </c>
      <c r="B51" s="168">
        <f>IF(A51&lt;AUXILIAR!$G$51,AUXILIAR!M37,IF(A51=AUXILIAR!$G$51,CONCATENATE(B50+1," y último"),""))</f>
      </c>
      <c r="C51" s="169">
        <v>0</v>
      </c>
      <c r="D51" s="167" t="str">
        <f>IF(AUXILIAR!$D$11=1,"-",A51)</f>
        <v>-</v>
      </c>
      <c r="E51" s="168" t="str">
        <f>IF(AUXILIAR!$D$11=1,"-",B51)</f>
        <v>-</v>
      </c>
      <c r="F51" s="169">
        <v>0</v>
      </c>
      <c r="G51" s="243">
        <f>IF(AUXILIAR!$D$11=1,C51,F51+C51)</f>
        <v>0</v>
      </c>
      <c r="H51" s="243">
        <f>G51+H50</f>
        <v>0</v>
      </c>
      <c r="I51" s="159" t="s">
        <v>318</v>
      </c>
      <c r="J51" s="159" t="s">
        <v>318</v>
      </c>
      <c r="K51" s="159" t="s">
        <v>318</v>
      </c>
      <c r="L51" s="159" t="s">
        <v>318</v>
      </c>
      <c r="M51" s="159" t="s">
        <v>318</v>
      </c>
      <c r="N51" s="159" t="s">
        <v>318</v>
      </c>
      <c r="O51" s="159" t="s">
        <v>318</v>
      </c>
      <c r="P51" s="159" t="s">
        <v>318</v>
      </c>
      <c r="Q51" s="159" t="s">
        <v>318</v>
      </c>
      <c r="R51" s="159" t="s">
        <v>318</v>
      </c>
      <c r="S51" s="159" t="s">
        <v>318</v>
      </c>
      <c r="T51" s="159" t="s">
        <v>318</v>
      </c>
      <c r="U51" s="159" t="s">
        <v>318</v>
      </c>
      <c r="V51" s="159" t="s">
        <v>318</v>
      </c>
      <c r="W51" s="159" t="s">
        <v>318</v>
      </c>
      <c r="X51" s="159" t="s">
        <v>318</v>
      </c>
      <c r="Y51" s="159" t="s">
        <v>318</v>
      </c>
      <c r="Z51" s="159" t="s">
        <v>318</v>
      </c>
      <c r="AA51" s="159" t="s">
        <v>318</v>
      </c>
    </row>
    <row r="52" spans="1:27" ht="26.25" customHeight="1">
      <c r="A52" s="223"/>
      <c r="B52" s="244" t="str">
        <f>CONCATENATE("TOTAL FNº ",FÓRMULAS!C8)</f>
        <v>TOTAL FNº 1</v>
      </c>
      <c r="C52" s="245">
        <f>SUM(C16:C51)</f>
        <v>0</v>
      </c>
      <c r="D52" s="246"/>
      <c r="E52" s="244" t="str">
        <f>CONCATENATE("TOTAL FNº ",FÓRMULAS!C9)</f>
        <v>TOTAL FNº 1</v>
      </c>
      <c r="F52" s="245">
        <f>SUM(F16:F51)</f>
        <v>0</v>
      </c>
      <c r="G52" s="223"/>
      <c r="H52" s="223"/>
      <c r="I52" s="159" t="s">
        <v>318</v>
      </c>
      <c r="J52" s="159" t="s">
        <v>318</v>
      </c>
      <c r="K52" s="159" t="s">
        <v>318</v>
      </c>
      <c r="L52" s="159" t="s">
        <v>318</v>
      </c>
      <c r="M52" s="159" t="s">
        <v>318</v>
      </c>
      <c r="N52" s="159" t="s">
        <v>318</v>
      </c>
      <c r="O52" s="159" t="s">
        <v>318</v>
      </c>
      <c r="P52" s="159" t="s">
        <v>318</v>
      </c>
      <c r="Q52" s="159" t="s">
        <v>318</v>
      </c>
      <c r="R52" s="159" t="s">
        <v>318</v>
      </c>
      <c r="S52" s="159" t="s">
        <v>318</v>
      </c>
      <c r="T52" s="159" t="s">
        <v>318</v>
      </c>
      <c r="U52" s="159" t="s">
        <v>318</v>
      </c>
      <c r="V52" s="159" t="s">
        <v>318</v>
      </c>
      <c r="W52" s="159" t="s">
        <v>318</v>
      </c>
      <c r="X52" s="159" t="s">
        <v>318</v>
      </c>
      <c r="Y52" s="159" t="s">
        <v>318</v>
      </c>
      <c r="Z52" s="159" t="s">
        <v>318</v>
      </c>
      <c r="AA52" s="159" t="s">
        <v>318</v>
      </c>
    </row>
    <row r="53" spans="1:27" s="14" customFormat="1" ht="17.25">
      <c r="A53" s="227"/>
      <c r="B53" s="247" t="s">
        <v>304</v>
      </c>
      <c r="C53" s="247">
        <f>IF(SUM(GAR2!L27:L76)&gt;0,AVERAGE(GAR2!L27:L76),0)</f>
        <v>0.7407654207819377</v>
      </c>
      <c r="D53" s="247"/>
      <c r="E53" s="247" t="s">
        <v>305</v>
      </c>
      <c r="F53" s="247">
        <f>IF(AUXILIAR!D11=1,"",IF(SUM(GAR2!L80:L129)&gt;0,AVERAGE(GAR2!L80:L129),0))</f>
      </c>
      <c r="G53" s="228"/>
      <c r="H53" s="228"/>
      <c r="I53" s="159" t="s">
        <v>318</v>
      </c>
      <c r="J53" s="159" t="s">
        <v>318</v>
      </c>
      <c r="K53" s="159" t="s">
        <v>318</v>
      </c>
      <c r="L53" s="159" t="s">
        <v>318</v>
      </c>
      <c r="M53" s="159" t="s">
        <v>318</v>
      </c>
      <c r="N53" s="159" t="s">
        <v>318</v>
      </c>
      <c r="O53" s="159" t="s">
        <v>318</v>
      </c>
      <c r="P53" s="159" t="s">
        <v>318</v>
      </c>
      <c r="Q53" s="159" t="s">
        <v>318</v>
      </c>
      <c r="R53" s="159" t="s">
        <v>318</v>
      </c>
      <c r="S53" s="159" t="s">
        <v>318</v>
      </c>
      <c r="T53" s="159" t="s">
        <v>318</v>
      </c>
      <c r="U53" s="159" t="s">
        <v>318</v>
      </c>
      <c r="V53" s="159" t="s">
        <v>318</v>
      </c>
      <c r="W53" s="159" t="s">
        <v>318</v>
      </c>
      <c r="X53" s="159" t="s">
        <v>318</v>
      </c>
      <c r="Y53" s="159" t="s">
        <v>318</v>
      </c>
      <c r="Z53" s="159" t="s">
        <v>318</v>
      </c>
      <c r="AA53" s="159" t="s">
        <v>318</v>
      </c>
    </row>
    <row r="54" spans="1:27" s="14" customFormat="1" ht="34.5">
      <c r="A54" s="229"/>
      <c r="B54" s="239" t="s">
        <v>307</v>
      </c>
      <c r="C54" s="248">
        <f>ROUND(0.8*(C53-1)*C52,2)</f>
        <v>0</v>
      </c>
      <c r="D54" s="230"/>
      <c r="E54" s="239" t="s">
        <v>307</v>
      </c>
      <c r="F54" s="248">
        <f>IF(AUXILIAR!D11=1,0,ROUND(0.8*(F53-1)*F52,2))</f>
        <v>0</v>
      </c>
      <c r="G54" s="229"/>
      <c r="H54" s="229"/>
      <c r="I54" s="159" t="s">
        <v>318</v>
      </c>
      <c r="J54" s="159" t="s">
        <v>318</v>
      </c>
      <c r="K54" s="159" t="s">
        <v>318</v>
      </c>
      <c r="L54" s="159" t="s">
        <v>318</v>
      </c>
      <c r="M54" s="159" t="s">
        <v>318</v>
      </c>
      <c r="N54" s="159" t="s">
        <v>318</v>
      </c>
      <c r="O54" s="159" t="s">
        <v>318</v>
      </c>
      <c r="P54" s="159" t="s">
        <v>318</v>
      </c>
      <c r="Q54" s="159" t="s">
        <v>318</v>
      </c>
      <c r="R54" s="159" t="s">
        <v>318</v>
      </c>
      <c r="S54" s="159" t="s">
        <v>318</v>
      </c>
      <c r="T54" s="159" t="s">
        <v>318</v>
      </c>
      <c r="U54" s="159" t="s">
        <v>318</v>
      </c>
      <c r="V54" s="159" t="s">
        <v>318</v>
      </c>
      <c r="W54" s="159" t="s">
        <v>318</v>
      </c>
      <c r="X54" s="159" t="s">
        <v>318</v>
      </c>
      <c r="Y54" s="159" t="s">
        <v>318</v>
      </c>
      <c r="Z54" s="159" t="s">
        <v>318</v>
      </c>
      <c r="AA54" s="159" t="s">
        <v>318</v>
      </c>
    </row>
    <row r="55" spans="1:27" s="14" customFormat="1" ht="15">
      <c r="A55" s="230"/>
      <c r="B55" s="230"/>
      <c r="C55" s="230"/>
      <c r="D55" s="230"/>
      <c r="E55" s="230"/>
      <c r="F55" s="230"/>
      <c r="G55" s="230"/>
      <c r="H55" s="230"/>
      <c r="I55" s="159" t="s">
        <v>318</v>
      </c>
      <c r="J55" s="159" t="s">
        <v>318</v>
      </c>
      <c r="K55" s="159" t="s">
        <v>318</v>
      </c>
      <c r="L55" s="159" t="s">
        <v>318</v>
      </c>
      <c r="M55" s="159" t="s">
        <v>318</v>
      </c>
      <c r="N55" s="159" t="s">
        <v>318</v>
      </c>
      <c r="O55" s="159" t="s">
        <v>318</v>
      </c>
      <c r="P55" s="159" t="s">
        <v>318</v>
      </c>
      <c r="Q55" s="159" t="s">
        <v>318</v>
      </c>
      <c r="R55" s="159" t="s">
        <v>318</v>
      </c>
      <c r="S55" s="159" t="s">
        <v>318</v>
      </c>
      <c r="T55" s="159" t="s">
        <v>318</v>
      </c>
      <c r="U55" s="159" t="s">
        <v>318</v>
      </c>
      <c r="V55" s="159" t="s">
        <v>318</v>
      </c>
      <c r="W55" s="159" t="s">
        <v>318</v>
      </c>
      <c r="X55" s="159" t="s">
        <v>318</v>
      </c>
      <c r="Y55" s="159" t="s">
        <v>318</v>
      </c>
      <c r="Z55" s="159" t="s">
        <v>318</v>
      </c>
      <c r="AA55" s="159" t="s">
        <v>318</v>
      </c>
    </row>
    <row r="56" spans="1:27" s="14" customFormat="1" ht="42.75" customHeight="1">
      <c r="A56" s="231"/>
      <c r="B56" s="660" t="s">
        <v>308</v>
      </c>
      <c r="C56" s="660"/>
      <c r="D56" s="660"/>
      <c r="E56" s="661">
        <f>C54+F54</f>
        <v>0</v>
      </c>
      <c r="F56" s="661"/>
      <c r="G56" s="232"/>
      <c r="H56" s="232"/>
      <c r="I56" s="159" t="s">
        <v>318</v>
      </c>
      <c r="J56" s="159" t="s">
        <v>318</v>
      </c>
      <c r="K56" s="159" t="s">
        <v>318</v>
      </c>
      <c r="L56" s="159" t="s">
        <v>318</v>
      </c>
      <c r="M56" s="159" t="s">
        <v>318</v>
      </c>
      <c r="N56" s="159" t="s">
        <v>318</v>
      </c>
      <c r="O56" s="159" t="s">
        <v>318</v>
      </c>
      <c r="P56" s="159" t="s">
        <v>318</v>
      </c>
      <c r="Q56" s="159" t="s">
        <v>318</v>
      </c>
      <c r="R56" s="159" t="s">
        <v>318</v>
      </c>
      <c r="S56" s="159" t="s">
        <v>318</v>
      </c>
      <c r="T56" s="159" t="s">
        <v>318</v>
      </c>
      <c r="U56" s="159" t="s">
        <v>318</v>
      </c>
      <c r="V56" s="159" t="s">
        <v>318</v>
      </c>
      <c r="W56" s="159" t="s">
        <v>318</v>
      </c>
      <c r="X56" s="159" t="s">
        <v>318</v>
      </c>
      <c r="Y56" s="159" t="s">
        <v>318</v>
      </c>
      <c r="Z56" s="159" t="s">
        <v>318</v>
      </c>
      <c r="AA56" s="159" t="s">
        <v>318</v>
      </c>
    </row>
    <row r="57" spans="1:27" s="14" customFormat="1" ht="15">
      <c r="A57" s="229"/>
      <c r="B57" s="229"/>
      <c r="C57" s="229"/>
      <c r="D57" s="229"/>
      <c r="E57" s="229"/>
      <c r="F57" s="229"/>
      <c r="G57" s="229"/>
      <c r="H57" s="229"/>
      <c r="I57" s="159" t="s">
        <v>318</v>
      </c>
      <c r="J57" s="159" t="s">
        <v>318</v>
      </c>
      <c r="K57" s="159" t="s">
        <v>318</v>
      </c>
      <c r="L57" s="159" t="s">
        <v>318</v>
      </c>
      <c r="M57" s="159" t="s">
        <v>318</v>
      </c>
      <c r="N57" s="159" t="s">
        <v>318</v>
      </c>
      <c r="O57" s="159" t="s">
        <v>318</v>
      </c>
      <c r="P57" s="159" t="s">
        <v>318</v>
      </c>
      <c r="Q57" s="159" t="s">
        <v>318</v>
      </c>
      <c r="R57" s="159" t="s">
        <v>318</v>
      </c>
      <c r="S57" s="159" t="s">
        <v>318</v>
      </c>
      <c r="T57" s="159" t="s">
        <v>318</v>
      </c>
      <c r="U57" s="159" t="s">
        <v>318</v>
      </c>
      <c r="V57" s="159" t="s">
        <v>318</v>
      </c>
      <c r="W57" s="159" t="s">
        <v>318</v>
      </c>
      <c r="X57" s="159" t="s">
        <v>318</v>
      </c>
      <c r="Y57" s="159" t="s">
        <v>318</v>
      </c>
      <c r="Z57" s="159" t="s">
        <v>318</v>
      </c>
      <c r="AA57" s="159" t="s">
        <v>318</v>
      </c>
    </row>
    <row r="58" spans="1:27" s="14" customFormat="1" ht="15">
      <c r="A58" s="233"/>
      <c r="B58" s="234"/>
      <c r="C58" s="234"/>
      <c r="D58" s="234"/>
      <c r="E58" s="234"/>
      <c r="F58" s="234"/>
      <c r="G58" s="234"/>
      <c r="H58" s="235"/>
      <c r="I58" s="159" t="s">
        <v>318</v>
      </c>
      <c r="J58" s="159" t="s">
        <v>318</v>
      </c>
      <c r="K58" s="159" t="s">
        <v>318</v>
      </c>
      <c r="L58" s="159" t="s">
        <v>318</v>
      </c>
      <c r="M58" s="159" t="s">
        <v>318</v>
      </c>
      <c r="N58" s="159" t="s">
        <v>318</v>
      </c>
      <c r="O58" s="159" t="s">
        <v>318</v>
      </c>
      <c r="P58" s="159" t="s">
        <v>318</v>
      </c>
      <c r="Q58" s="159" t="s">
        <v>318</v>
      </c>
      <c r="R58" s="159" t="s">
        <v>318</v>
      </c>
      <c r="S58" s="159" t="s">
        <v>318</v>
      </c>
      <c r="T58" s="159" t="s">
        <v>318</v>
      </c>
      <c r="U58" s="159" t="s">
        <v>318</v>
      </c>
      <c r="V58" s="159" t="s">
        <v>318</v>
      </c>
      <c r="W58" s="159" t="s">
        <v>318</v>
      </c>
      <c r="X58" s="159" t="s">
        <v>318</v>
      </c>
      <c r="Y58" s="159" t="s">
        <v>318</v>
      </c>
      <c r="Z58" s="159" t="s">
        <v>318</v>
      </c>
      <c r="AA58" s="159" t="s">
        <v>318</v>
      </c>
    </row>
    <row r="59" spans="1:27" s="14" customFormat="1" ht="15">
      <c r="A59" s="231"/>
      <c r="B59" s="232"/>
      <c r="C59" s="653" t="s">
        <v>123</v>
      </c>
      <c r="D59" s="654"/>
      <c r="E59" s="654"/>
      <c r="F59" s="654"/>
      <c r="G59" s="654"/>
      <c r="H59" s="655"/>
      <c r="I59" s="159" t="s">
        <v>318</v>
      </c>
      <c r="J59" s="159" t="s">
        <v>318</v>
      </c>
      <c r="K59" s="159" t="s">
        <v>318</v>
      </c>
      <c r="L59" s="159" t="s">
        <v>318</v>
      </c>
      <c r="M59" s="159" t="s">
        <v>318</v>
      </c>
      <c r="N59" s="159" t="s">
        <v>318</v>
      </c>
      <c r="O59" s="159" t="s">
        <v>318</v>
      </c>
      <c r="P59" s="159" t="s">
        <v>318</v>
      </c>
      <c r="Q59" s="159" t="s">
        <v>318</v>
      </c>
      <c r="R59" s="159" t="s">
        <v>318</v>
      </c>
      <c r="S59" s="159" t="s">
        <v>318</v>
      </c>
      <c r="T59" s="159" t="s">
        <v>318</v>
      </c>
      <c r="U59" s="159" t="s">
        <v>318</v>
      </c>
      <c r="V59" s="159" t="s">
        <v>318</v>
      </c>
      <c r="W59" s="159" t="s">
        <v>318</v>
      </c>
      <c r="X59" s="159" t="s">
        <v>318</v>
      </c>
      <c r="Y59" s="159" t="s">
        <v>318</v>
      </c>
      <c r="Z59" s="159" t="s">
        <v>318</v>
      </c>
      <c r="AA59" s="159" t="s">
        <v>318</v>
      </c>
    </row>
    <row r="60" spans="1:27" s="14" customFormat="1" ht="15.75" thickBot="1">
      <c r="A60" s="229"/>
      <c r="B60" s="229"/>
      <c r="C60" s="656"/>
      <c r="D60" s="657"/>
      <c r="E60" s="657"/>
      <c r="F60" s="657"/>
      <c r="G60" s="657"/>
      <c r="H60" s="658"/>
      <c r="I60" s="159" t="s">
        <v>318</v>
      </c>
      <c r="J60" s="159" t="s">
        <v>318</v>
      </c>
      <c r="K60" s="159" t="s">
        <v>318</v>
      </c>
      <c r="L60" s="159" t="s">
        <v>318</v>
      </c>
      <c r="M60" s="159" t="s">
        <v>318</v>
      </c>
      <c r="N60" s="159" t="s">
        <v>318</v>
      </c>
      <c r="O60" s="159" t="s">
        <v>318</v>
      </c>
      <c r="P60" s="159" t="s">
        <v>318</v>
      </c>
      <c r="Q60" s="159" t="s">
        <v>318</v>
      </c>
      <c r="R60" s="159" t="s">
        <v>318</v>
      </c>
      <c r="S60" s="159" t="s">
        <v>318</v>
      </c>
      <c r="T60" s="159" t="s">
        <v>318</v>
      </c>
      <c r="U60" s="159" t="s">
        <v>318</v>
      </c>
      <c r="V60" s="159" t="s">
        <v>318</v>
      </c>
      <c r="W60" s="159" t="s">
        <v>318</v>
      </c>
      <c r="X60" s="159" t="s">
        <v>318</v>
      </c>
      <c r="Y60" s="159" t="s">
        <v>318</v>
      </c>
      <c r="Z60" s="159" t="s">
        <v>318</v>
      </c>
      <c r="AA60" s="159" t="s">
        <v>318</v>
      </c>
    </row>
    <row r="61" spans="1:27" s="14" customFormat="1" ht="15">
      <c r="A61" s="236"/>
      <c r="B61" s="231"/>
      <c r="C61" s="237"/>
      <c r="D61" s="237"/>
      <c r="E61" s="237"/>
      <c r="F61" s="237"/>
      <c r="G61" s="237"/>
      <c r="H61" s="237"/>
      <c r="I61" s="159" t="s">
        <v>318</v>
      </c>
      <c r="J61" s="159" t="s">
        <v>318</v>
      </c>
      <c r="K61" s="159" t="s">
        <v>318</v>
      </c>
      <c r="L61" s="159" t="s">
        <v>318</v>
      </c>
      <c r="M61" s="159" t="s">
        <v>318</v>
      </c>
      <c r="N61" s="159" t="s">
        <v>318</v>
      </c>
      <c r="O61" s="159" t="s">
        <v>318</v>
      </c>
      <c r="P61" s="159" t="s">
        <v>318</v>
      </c>
      <c r="Q61" s="159" t="s">
        <v>318</v>
      </c>
      <c r="R61" s="159" t="s">
        <v>318</v>
      </c>
      <c r="S61" s="159" t="s">
        <v>318</v>
      </c>
      <c r="T61" s="159" t="s">
        <v>318</v>
      </c>
      <c r="U61" s="159" t="s">
        <v>318</v>
      </c>
      <c r="V61" s="159" t="s">
        <v>318</v>
      </c>
      <c r="W61" s="159" t="s">
        <v>318</v>
      </c>
      <c r="X61" s="159" t="s">
        <v>318</v>
      </c>
      <c r="Y61" s="159" t="s">
        <v>318</v>
      </c>
      <c r="Z61" s="159" t="s">
        <v>318</v>
      </c>
      <c r="AA61" s="159" t="s">
        <v>318</v>
      </c>
    </row>
    <row r="62" spans="1:27" s="14" customFormat="1" ht="12.75">
      <c r="A62" s="159" t="s">
        <v>318</v>
      </c>
      <c r="B62" s="159" t="s">
        <v>318</v>
      </c>
      <c r="C62" s="159" t="s">
        <v>318</v>
      </c>
      <c r="D62" s="159" t="s">
        <v>318</v>
      </c>
      <c r="E62" s="159" t="s">
        <v>318</v>
      </c>
      <c r="F62" s="159" t="s">
        <v>318</v>
      </c>
      <c r="G62" s="159" t="s">
        <v>318</v>
      </c>
      <c r="H62" s="159" t="s">
        <v>318</v>
      </c>
      <c r="I62" s="159" t="s">
        <v>318</v>
      </c>
      <c r="J62" s="159" t="s">
        <v>318</v>
      </c>
      <c r="K62" s="159" t="s">
        <v>318</v>
      </c>
      <c r="L62" s="159" t="s">
        <v>318</v>
      </c>
      <c r="M62" s="159" t="s">
        <v>318</v>
      </c>
      <c r="N62" s="159" t="s">
        <v>318</v>
      </c>
      <c r="O62" s="159" t="s">
        <v>318</v>
      </c>
      <c r="P62" s="159" t="s">
        <v>318</v>
      </c>
      <c r="Q62" s="159" t="s">
        <v>318</v>
      </c>
      <c r="R62" s="159" t="s">
        <v>318</v>
      </c>
      <c r="S62" s="159" t="s">
        <v>318</v>
      </c>
      <c r="T62" s="159" t="s">
        <v>318</v>
      </c>
      <c r="U62" s="159" t="s">
        <v>318</v>
      </c>
      <c r="V62" s="159" t="s">
        <v>318</v>
      </c>
      <c r="W62" s="159" t="s">
        <v>318</v>
      </c>
      <c r="X62" s="159" t="s">
        <v>318</v>
      </c>
      <c r="Y62" s="159" t="s">
        <v>318</v>
      </c>
      <c r="Z62" s="159" t="s">
        <v>318</v>
      </c>
      <c r="AA62" s="159" t="s">
        <v>318</v>
      </c>
    </row>
    <row r="63" spans="1:27" s="14" customFormat="1" ht="12.75">
      <c r="A63" s="159" t="s">
        <v>318</v>
      </c>
      <c r="B63" s="159" t="s">
        <v>318</v>
      </c>
      <c r="C63" s="159" t="s">
        <v>318</v>
      </c>
      <c r="D63" s="159" t="s">
        <v>318</v>
      </c>
      <c r="E63" s="159" t="s">
        <v>318</v>
      </c>
      <c r="F63" s="159" t="s">
        <v>318</v>
      </c>
      <c r="G63" s="159" t="s">
        <v>318</v>
      </c>
      <c r="H63" s="159" t="s">
        <v>318</v>
      </c>
      <c r="I63" s="159" t="s">
        <v>318</v>
      </c>
      <c r="J63" s="159" t="s">
        <v>318</v>
      </c>
      <c r="K63" s="159" t="s">
        <v>318</v>
      </c>
      <c r="L63" s="159" t="s">
        <v>318</v>
      </c>
      <c r="M63" s="159" t="s">
        <v>318</v>
      </c>
      <c r="N63" s="159" t="s">
        <v>318</v>
      </c>
      <c r="O63" s="159" t="s">
        <v>318</v>
      </c>
      <c r="P63" s="159" t="s">
        <v>318</v>
      </c>
      <c r="Q63" s="159" t="s">
        <v>318</v>
      </c>
      <c r="R63" s="159" t="s">
        <v>318</v>
      </c>
      <c r="S63" s="159" t="s">
        <v>318</v>
      </c>
      <c r="T63" s="159" t="s">
        <v>318</v>
      </c>
      <c r="U63" s="159" t="s">
        <v>318</v>
      </c>
      <c r="V63" s="159" t="s">
        <v>318</v>
      </c>
      <c r="W63" s="159" t="s">
        <v>318</v>
      </c>
      <c r="X63" s="159" t="s">
        <v>318</v>
      </c>
      <c r="Y63" s="159" t="s">
        <v>318</v>
      </c>
      <c r="Z63" s="159" t="s">
        <v>318</v>
      </c>
      <c r="AA63" s="159" t="s">
        <v>318</v>
      </c>
    </row>
    <row r="64" spans="1:27" s="14" customFormat="1" ht="12.75">
      <c r="A64" s="159" t="s">
        <v>318</v>
      </c>
      <c r="B64" s="159" t="s">
        <v>318</v>
      </c>
      <c r="C64" s="159" t="s">
        <v>318</v>
      </c>
      <c r="D64" s="159" t="s">
        <v>318</v>
      </c>
      <c r="E64" s="159" t="s">
        <v>318</v>
      </c>
      <c r="F64" s="159" t="s">
        <v>318</v>
      </c>
      <c r="G64" s="159" t="s">
        <v>318</v>
      </c>
      <c r="H64" s="159" t="s">
        <v>318</v>
      </c>
      <c r="I64" s="159" t="s">
        <v>318</v>
      </c>
      <c r="J64" s="159" t="s">
        <v>318</v>
      </c>
      <c r="K64" s="159" t="s">
        <v>318</v>
      </c>
      <c r="L64" s="159" t="s">
        <v>318</v>
      </c>
      <c r="M64" s="159" t="s">
        <v>318</v>
      </c>
      <c r="N64" s="159" t="s">
        <v>318</v>
      </c>
      <c r="O64" s="159" t="s">
        <v>318</v>
      </c>
      <c r="P64" s="159" t="s">
        <v>318</v>
      </c>
      <c r="Q64" s="159" t="s">
        <v>318</v>
      </c>
      <c r="R64" s="159" t="s">
        <v>318</v>
      </c>
      <c r="S64" s="159" t="s">
        <v>318</v>
      </c>
      <c r="T64" s="159" t="s">
        <v>318</v>
      </c>
      <c r="U64" s="159" t="s">
        <v>318</v>
      </c>
      <c r="V64" s="159" t="s">
        <v>318</v>
      </c>
      <c r="W64" s="159" t="s">
        <v>318</v>
      </c>
      <c r="X64" s="159" t="s">
        <v>318</v>
      </c>
      <c r="Y64" s="159" t="s">
        <v>318</v>
      </c>
      <c r="Z64" s="159" t="s">
        <v>318</v>
      </c>
      <c r="AA64" s="159" t="s">
        <v>318</v>
      </c>
    </row>
    <row r="65" spans="1:27" s="14" customFormat="1" ht="12.75">
      <c r="A65" s="159" t="s">
        <v>318</v>
      </c>
      <c r="B65" s="159" t="s">
        <v>318</v>
      </c>
      <c r="C65" s="159" t="s">
        <v>318</v>
      </c>
      <c r="D65" s="159" t="s">
        <v>318</v>
      </c>
      <c r="E65" s="159" t="s">
        <v>318</v>
      </c>
      <c r="F65" s="159" t="s">
        <v>318</v>
      </c>
      <c r="G65" s="159" t="s">
        <v>318</v>
      </c>
      <c r="H65" s="159" t="s">
        <v>318</v>
      </c>
      <c r="I65" s="159" t="s">
        <v>318</v>
      </c>
      <c r="J65" s="159" t="s">
        <v>318</v>
      </c>
      <c r="K65" s="159" t="s">
        <v>318</v>
      </c>
      <c r="L65" s="159" t="s">
        <v>318</v>
      </c>
      <c r="M65" s="159" t="s">
        <v>318</v>
      </c>
      <c r="N65" s="159" t="s">
        <v>318</v>
      </c>
      <c r="O65" s="159" t="s">
        <v>318</v>
      </c>
      <c r="P65" s="159" t="s">
        <v>318</v>
      </c>
      <c r="Q65" s="159" t="s">
        <v>318</v>
      </c>
      <c r="R65" s="159" t="s">
        <v>318</v>
      </c>
      <c r="S65" s="159" t="s">
        <v>318</v>
      </c>
      <c r="T65" s="159" t="s">
        <v>318</v>
      </c>
      <c r="U65" s="159" t="s">
        <v>318</v>
      </c>
      <c r="V65" s="159" t="s">
        <v>318</v>
      </c>
      <c r="W65" s="159" t="s">
        <v>318</v>
      </c>
      <c r="X65" s="159" t="s">
        <v>318</v>
      </c>
      <c r="Y65" s="159" t="s">
        <v>318</v>
      </c>
      <c r="Z65" s="159" t="s">
        <v>318</v>
      </c>
      <c r="AA65" s="159" t="s">
        <v>318</v>
      </c>
    </row>
    <row r="66" spans="1:27" s="14" customFormat="1" ht="12.75">
      <c r="A66" s="159" t="s">
        <v>318</v>
      </c>
      <c r="B66" s="159" t="s">
        <v>318</v>
      </c>
      <c r="C66" s="159" t="s">
        <v>318</v>
      </c>
      <c r="D66" s="159" t="s">
        <v>318</v>
      </c>
      <c r="E66" s="159" t="s">
        <v>318</v>
      </c>
      <c r="F66" s="159" t="s">
        <v>318</v>
      </c>
      <c r="G66" s="159" t="s">
        <v>318</v>
      </c>
      <c r="H66" s="159" t="s">
        <v>318</v>
      </c>
      <c r="I66" s="159" t="s">
        <v>318</v>
      </c>
      <c r="J66" s="159" t="s">
        <v>318</v>
      </c>
      <c r="K66" s="159" t="s">
        <v>318</v>
      </c>
      <c r="L66" s="159" t="s">
        <v>318</v>
      </c>
      <c r="M66" s="159" t="s">
        <v>318</v>
      </c>
      <c r="N66" s="159" t="s">
        <v>318</v>
      </c>
      <c r="O66" s="159" t="s">
        <v>318</v>
      </c>
      <c r="P66" s="159" t="s">
        <v>318</v>
      </c>
      <c r="Q66" s="159" t="s">
        <v>318</v>
      </c>
      <c r="R66" s="159" t="s">
        <v>318</v>
      </c>
      <c r="S66" s="159" t="s">
        <v>318</v>
      </c>
      <c r="T66" s="159" t="s">
        <v>318</v>
      </c>
      <c r="U66" s="159" t="s">
        <v>318</v>
      </c>
      <c r="V66" s="159" t="s">
        <v>318</v>
      </c>
      <c r="W66" s="159" t="s">
        <v>318</v>
      </c>
      <c r="X66" s="159" t="s">
        <v>318</v>
      </c>
      <c r="Y66" s="159" t="s">
        <v>318</v>
      </c>
      <c r="Z66" s="159" t="s">
        <v>318</v>
      </c>
      <c r="AA66" s="159" t="s">
        <v>318</v>
      </c>
    </row>
    <row r="67" spans="1:27" s="14" customFormat="1" ht="12.75">
      <c r="A67" s="159" t="s">
        <v>318</v>
      </c>
      <c r="B67" s="159" t="s">
        <v>318</v>
      </c>
      <c r="C67" s="159" t="s">
        <v>318</v>
      </c>
      <c r="D67" s="159" t="s">
        <v>318</v>
      </c>
      <c r="E67" s="159" t="s">
        <v>318</v>
      </c>
      <c r="F67" s="159" t="s">
        <v>318</v>
      </c>
      <c r="G67" s="159" t="s">
        <v>318</v>
      </c>
      <c r="H67" s="159" t="s">
        <v>318</v>
      </c>
      <c r="I67" s="159" t="s">
        <v>318</v>
      </c>
      <c r="J67" s="159" t="s">
        <v>318</v>
      </c>
      <c r="K67" s="159" t="s">
        <v>318</v>
      </c>
      <c r="L67" s="159" t="s">
        <v>318</v>
      </c>
      <c r="M67" s="159" t="s">
        <v>318</v>
      </c>
      <c r="N67" s="159" t="s">
        <v>318</v>
      </c>
      <c r="O67" s="159" t="s">
        <v>318</v>
      </c>
      <c r="P67" s="159" t="s">
        <v>318</v>
      </c>
      <c r="Q67" s="159" t="s">
        <v>318</v>
      </c>
      <c r="R67" s="159" t="s">
        <v>318</v>
      </c>
      <c r="S67" s="159" t="s">
        <v>318</v>
      </c>
      <c r="T67" s="159" t="s">
        <v>318</v>
      </c>
      <c r="U67" s="159" t="s">
        <v>318</v>
      </c>
      <c r="V67" s="159" t="s">
        <v>318</v>
      </c>
      <c r="W67" s="159" t="s">
        <v>318</v>
      </c>
      <c r="X67" s="159" t="s">
        <v>318</v>
      </c>
      <c r="Y67" s="159" t="s">
        <v>318</v>
      </c>
      <c r="Z67" s="159" t="s">
        <v>318</v>
      </c>
      <c r="AA67" s="159" t="s">
        <v>318</v>
      </c>
    </row>
    <row r="68" spans="1:27" s="14" customFormat="1" ht="12.75">
      <c r="A68" s="159" t="s">
        <v>318</v>
      </c>
      <c r="B68" s="159" t="s">
        <v>318</v>
      </c>
      <c r="C68" s="159" t="s">
        <v>318</v>
      </c>
      <c r="D68" s="159" t="s">
        <v>318</v>
      </c>
      <c r="E68" s="159" t="s">
        <v>318</v>
      </c>
      <c r="F68" s="159" t="s">
        <v>318</v>
      </c>
      <c r="G68" s="159" t="s">
        <v>318</v>
      </c>
      <c r="H68" s="159" t="s">
        <v>318</v>
      </c>
      <c r="I68" s="159" t="s">
        <v>318</v>
      </c>
      <c r="J68" s="159" t="s">
        <v>318</v>
      </c>
      <c r="K68" s="159" t="s">
        <v>318</v>
      </c>
      <c r="L68" s="159" t="s">
        <v>318</v>
      </c>
      <c r="M68" s="159" t="s">
        <v>318</v>
      </c>
      <c r="N68" s="159" t="s">
        <v>318</v>
      </c>
      <c r="O68" s="159" t="s">
        <v>318</v>
      </c>
      <c r="P68" s="159" t="s">
        <v>318</v>
      </c>
      <c r="Q68" s="159" t="s">
        <v>318</v>
      </c>
      <c r="R68" s="159" t="s">
        <v>318</v>
      </c>
      <c r="S68" s="159" t="s">
        <v>318</v>
      </c>
      <c r="T68" s="159" t="s">
        <v>318</v>
      </c>
      <c r="U68" s="159" t="s">
        <v>318</v>
      </c>
      <c r="V68" s="159" t="s">
        <v>318</v>
      </c>
      <c r="W68" s="159" t="s">
        <v>318</v>
      </c>
      <c r="X68" s="159" t="s">
        <v>318</v>
      </c>
      <c r="Y68" s="159" t="s">
        <v>318</v>
      </c>
      <c r="Z68" s="159" t="s">
        <v>318</v>
      </c>
      <c r="AA68" s="159" t="s">
        <v>318</v>
      </c>
    </row>
    <row r="69" spans="1:27" s="14" customFormat="1" ht="12.75">
      <c r="A69" s="159" t="s">
        <v>318</v>
      </c>
      <c r="B69" s="159" t="s">
        <v>318</v>
      </c>
      <c r="C69" s="159" t="s">
        <v>318</v>
      </c>
      <c r="D69" s="159" t="s">
        <v>318</v>
      </c>
      <c r="E69" s="159" t="s">
        <v>318</v>
      </c>
      <c r="F69" s="159" t="s">
        <v>318</v>
      </c>
      <c r="G69" s="159" t="s">
        <v>318</v>
      </c>
      <c r="H69" s="159" t="s">
        <v>318</v>
      </c>
      <c r="I69" s="159" t="s">
        <v>318</v>
      </c>
      <c r="J69" s="159" t="s">
        <v>318</v>
      </c>
      <c r="K69" s="159" t="s">
        <v>318</v>
      </c>
      <c r="L69" s="159" t="s">
        <v>318</v>
      </c>
      <c r="M69" s="159" t="s">
        <v>318</v>
      </c>
      <c r="N69" s="159" t="s">
        <v>318</v>
      </c>
      <c r="O69" s="159" t="s">
        <v>318</v>
      </c>
      <c r="P69" s="159" t="s">
        <v>318</v>
      </c>
      <c r="Q69" s="159" t="s">
        <v>318</v>
      </c>
      <c r="R69" s="159" t="s">
        <v>318</v>
      </c>
      <c r="S69" s="159" t="s">
        <v>318</v>
      </c>
      <c r="T69" s="159" t="s">
        <v>318</v>
      </c>
      <c r="U69" s="159" t="s">
        <v>318</v>
      </c>
      <c r="V69" s="159" t="s">
        <v>318</v>
      </c>
      <c r="W69" s="159" t="s">
        <v>318</v>
      </c>
      <c r="X69" s="159" t="s">
        <v>318</v>
      </c>
      <c r="Y69" s="159" t="s">
        <v>318</v>
      </c>
      <c r="Z69" s="159" t="s">
        <v>318</v>
      </c>
      <c r="AA69" s="159" t="s">
        <v>318</v>
      </c>
    </row>
    <row r="70" spans="1:27" s="14" customFormat="1" ht="12.75">
      <c r="A70" s="159" t="s">
        <v>318</v>
      </c>
      <c r="B70" s="159" t="s">
        <v>318</v>
      </c>
      <c r="C70" s="159" t="s">
        <v>318</v>
      </c>
      <c r="D70" s="159" t="s">
        <v>318</v>
      </c>
      <c r="E70" s="159" t="s">
        <v>318</v>
      </c>
      <c r="F70" s="159" t="s">
        <v>318</v>
      </c>
      <c r="G70" s="159" t="s">
        <v>318</v>
      </c>
      <c r="H70" s="159" t="s">
        <v>318</v>
      </c>
      <c r="I70" s="159" t="s">
        <v>318</v>
      </c>
      <c r="J70" s="159" t="s">
        <v>318</v>
      </c>
      <c r="K70" s="159" t="s">
        <v>318</v>
      </c>
      <c r="L70" s="159" t="s">
        <v>318</v>
      </c>
      <c r="M70" s="159" t="s">
        <v>318</v>
      </c>
      <c r="N70" s="159" t="s">
        <v>318</v>
      </c>
      <c r="O70" s="159" t="s">
        <v>318</v>
      </c>
      <c r="P70" s="159" t="s">
        <v>318</v>
      </c>
      <c r="Q70" s="159" t="s">
        <v>318</v>
      </c>
      <c r="R70" s="159" t="s">
        <v>318</v>
      </c>
      <c r="S70" s="159" t="s">
        <v>318</v>
      </c>
      <c r="T70" s="159" t="s">
        <v>318</v>
      </c>
      <c r="U70" s="159" t="s">
        <v>318</v>
      </c>
      <c r="V70" s="159" t="s">
        <v>318</v>
      </c>
      <c r="W70" s="159" t="s">
        <v>318</v>
      </c>
      <c r="X70" s="159" t="s">
        <v>318</v>
      </c>
      <c r="Y70" s="159" t="s">
        <v>318</v>
      </c>
      <c r="Z70" s="159" t="s">
        <v>318</v>
      </c>
      <c r="AA70" s="159" t="s">
        <v>318</v>
      </c>
    </row>
    <row r="71" spans="1:27" s="14" customFormat="1" ht="12.75">
      <c r="A71" s="159" t="s">
        <v>318</v>
      </c>
      <c r="B71" s="159" t="s">
        <v>318</v>
      </c>
      <c r="C71" s="159" t="s">
        <v>318</v>
      </c>
      <c r="D71" s="159" t="s">
        <v>318</v>
      </c>
      <c r="E71" s="159" t="s">
        <v>318</v>
      </c>
      <c r="F71" s="159" t="s">
        <v>318</v>
      </c>
      <c r="G71" s="159" t="s">
        <v>318</v>
      </c>
      <c r="H71" s="159" t="s">
        <v>318</v>
      </c>
      <c r="I71" s="159" t="s">
        <v>318</v>
      </c>
      <c r="J71" s="159" t="s">
        <v>318</v>
      </c>
      <c r="K71" s="159" t="s">
        <v>318</v>
      </c>
      <c r="L71" s="159" t="s">
        <v>318</v>
      </c>
      <c r="M71" s="159" t="s">
        <v>318</v>
      </c>
      <c r="N71" s="159" t="s">
        <v>318</v>
      </c>
      <c r="O71" s="159" t="s">
        <v>318</v>
      </c>
      <c r="P71" s="159" t="s">
        <v>318</v>
      </c>
      <c r="Q71" s="159" t="s">
        <v>318</v>
      </c>
      <c r="R71" s="159" t="s">
        <v>318</v>
      </c>
      <c r="S71" s="159" t="s">
        <v>318</v>
      </c>
      <c r="T71" s="159" t="s">
        <v>318</v>
      </c>
      <c r="U71" s="159" t="s">
        <v>318</v>
      </c>
      <c r="V71" s="159" t="s">
        <v>318</v>
      </c>
      <c r="W71" s="159" t="s">
        <v>318</v>
      </c>
      <c r="X71" s="159" t="s">
        <v>318</v>
      </c>
      <c r="Y71" s="159" t="s">
        <v>318</v>
      </c>
      <c r="Z71" s="159" t="s">
        <v>318</v>
      </c>
      <c r="AA71" s="159" t="s">
        <v>318</v>
      </c>
    </row>
    <row r="72" spans="1:27" s="14" customFormat="1" ht="12.75">
      <c r="A72" s="159" t="s">
        <v>318</v>
      </c>
      <c r="B72" s="159" t="s">
        <v>318</v>
      </c>
      <c r="C72" s="159" t="s">
        <v>318</v>
      </c>
      <c r="D72" s="159" t="s">
        <v>318</v>
      </c>
      <c r="E72" s="159" t="s">
        <v>318</v>
      </c>
      <c r="F72" s="159" t="s">
        <v>318</v>
      </c>
      <c r="G72" s="159" t="s">
        <v>318</v>
      </c>
      <c r="H72" s="159" t="s">
        <v>318</v>
      </c>
      <c r="I72" s="159" t="s">
        <v>318</v>
      </c>
      <c r="J72" s="159" t="s">
        <v>318</v>
      </c>
      <c r="K72" s="159" t="s">
        <v>318</v>
      </c>
      <c r="L72" s="159" t="s">
        <v>318</v>
      </c>
      <c r="M72" s="159" t="s">
        <v>318</v>
      </c>
      <c r="N72" s="159" t="s">
        <v>318</v>
      </c>
      <c r="O72" s="159" t="s">
        <v>318</v>
      </c>
      <c r="P72" s="159" t="s">
        <v>318</v>
      </c>
      <c r="Q72" s="159" t="s">
        <v>318</v>
      </c>
      <c r="R72" s="159" t="s">
        <v>318</v>
      </c>
      <c r="S72" s="159" t="s">
        <v>318</v>
      </c>
      <c r="T72" s="159" t="s">
        <v>318</v>
      </c>
      <c r="U72" s="159" t="s">
        <v>318</v>
      </c>
      <c r="V72" s="159" t="s">
        <v>318</v>
      </c>
      <c r="W72" s="159" t="s">
        <v>318</v>
      </c>
      <c r="X72" s="159" t="s">
        <v>318</v>
      </c>
      <c r="Y72" s="159" t="s">
        <v>318</v>
      </c>
      <c r="Z72" s="159" t="s">
        <v>318</v>
      </c>
      <c r="AA72" s="159" t="s">
        <v>318</v>
      </c>
    </row>
    <row r="73" spans="1:27" s="14" customFormat="1" ht="12.75">
      <c r="A73" s="159" t="s">
        <v>318</v>
      </c>
      <c r="B73" s="159" t="s">
        <v>318</v>
      </c>
      <c r="C73" s="159" t="s">
        <v>318</v>
      </c>
      <c r="D73" s="159" t="s">
        <v>318</v>
      </c>
      <c r="E73" s="159" t="s">
        <v>318</v>
      </c>
      <c r="F73" s="159" t="s">
        <v>318</v>
      </c>
      <c r="G73" s="159" t="s">
        <v>318</v>
      </c>
      <c r="H73" s="159" t="s">
        <v>318</v>
      </c>
      <c r="I73" s="159" t="s">
        <v>318</v>
      </c>
      <c r="J73" s="159" t="s">
        <v>318</v>
      </c>
      <c r="K73" s="159" t="s">
        <v>318</v>
      </c>
      <c r="L73" s="159" t="s">
        <v>318</v>
      </c>
      <c r="M73" s="159" t="s">
        <v>318</v>
      </c>
      <c r="N73" s="159" t="s">
        <v>318</v>
      </c>
      <c r="O73" s="159" t="s">
        <v>318</v>
      </c>
      <c r="P73" s="159" t="s">
        <v>318</v>
      </c>
      <c r="Q73" s="159" t="s">
        <v>318</v>
      </c>
      <c r="R73" s="159" t="s">
        <v>318</v>
      </c>
      <c r="S73" s="159" t="s">
        <v>318</v>
      </c>
      <c r="T73" s="159" t="s">
        <v>318</v>
      </c>
      <c r="U73" s="159" t="s">
        <v>318</v>
      </c>
      <c r="V73" s="159" t="s">
        <v>318</v>
      </c>
      <c r="W73" s="159" t="s">
        <v>318</v>
      </c>
      <c r="X73" s="159" t="s">
        <v>318</v>
      </c>
      <c r="Y73" s="159" t="s">
        <v>318</v>
      </c>
      <c r="Z73" s="159" t="s">
        <v>318</v>
      </c>
      <c r="AA73" s="159" t="s">
        <v>318</v>
      </c>
    </row>
    <row r="74" spans="1:27" s="14" customFormat="1" ht="12.75">
      <c r="A74" s="159" t="s">
        <v>318</v>
      </c>
      <c r="B74" s="159" t="s">
        <v>318</v>
      </c>
      <c r="C74" s="159" t="s">
        <v>318</v>
      </c>
      <c r="D74" s="159" t="s">
        <v>318</v>
      </c>
      <c r="E74" s="159" t="s">
        <v>318</v>
      </c>
      <c r="F74" s="159" t="s">
        <v>318</v>
      </c>
      <c r="G74" s="159" t="s">
        <v>318</v>
      </c>
      <c r="H74" s="159" t="s">
        <v>318</v>
      </c>
      <c r="I74" s="159" t="s">
        <v>318</v>
      </c>
      <c r="J74" s="159" t="s">
        <v>318</v>
      </c>
      <c r="K74" s="159" t="s">
        <v>318</v>
      </c>
      <c r="L74" s="159" t="s">
        <v>318</v>
      </c>
      <c r="M74" s="159" t="s">
        <v>318</v>
      </c>
      <c r="N74" s="159" t="s">
        <v>318</v>
      </c>
      <c r="O74" s="159" t="s">
        <v>318</v>
      </c>
      <c r="P74" s="159" t="s">
        <v>318</v>
      </c>
      <c r="Q74" s="159" t="s">
        <v>318</v>
      </c>
      <c r="R74" s="159" t="s">
        <v>318</v>
      </c>
      <c r="S74" s="159" t="s">
        <v>318</v>
      </c>
      <c r="T74" s="159" t="s">
        <v>318</v>
      </c>
      <c r="U74" s="159" t="s">
        <v>318</v>
      </c>
      <c r="V74" s="159" t="s">
        <v>318</v>
      </c>
      <c r="W74" s="159" t="s">
        <v>318</v>
      </c>
      <c r="X74" s="159" t="s">
        <v>318</v>
      </c>
      <c r="Y74" s="159" t="s">
        <v>318</v>
      </c>
      <c r="Z74" s="159" t="s">
        <v>318</v>
      </c>
      <c r="AA74" s="159" t="s">
        <v>318</v>
      </c>
    </row>
    <row r="75" spans="1:27" s="14" customFormat="1" ht="12.75">
      <c r="A75" s="159" t="s">
        <v>318</v>
      </c>
      <c r="B75" s="159" t="s">
        <v>318</v>
      </c>
      <c r="C75" s="159" t="s">
        <v>318</v>
      </c>
      <c r="D75" s="159" t="s">
        <v>318</v>
      </c>
      <c r="E75" s="159" t="s">
        <v>318</v>
      </c>
      <c r="F75" s="159" t="s">
        <v>318</v>
      </c>
      <c r="G75" s="159" t="s">
        <v>318</v>
      </c>
      <c r="H75" s="159" t="s">
        <v>318</v>
      </c>
      <c r="I75" s="159" t="s">
        <v>318</v>
      </c>
      <c r="J75" s="159" t="s">
        <v>318</v>
      </c>
      <c r="K75" s="159" t="s">
        <v>318</v>
      </c>
      <c r="L75" s="159" t="s">
        <v>318</v>
      </c>
      <c r="M75" s="159" t="s">
        <v>318</v>
      </c>
      <c r="N75" s="159" t="s">
        <v>318</v>
      </c>
      <c r="O75" s="159" t="s">
        <v>318</v>
      </c>
      <c r="P75" s="159" t="s">
        <v>318</v>
      </c>
      <c r="Q75" s="159" t="s">
        <v>318</v>
      </c>
      <c r="R75" s="159" t="s">
        <v>318</v>
      </c>
      <c r="S75" s="159" t="s">
        <v>318</v>
      </c>
      <c r="T75" s="159" t="s">
        <v>318</v>
      </c>
      <c r="U75" s="159" t="s">
        <v>318</v>
      </c>
      <c r="V75" s="159" t="s">
        <v>318</v>
      </c>
      <c r="W75" s="159" t="s">
        <v>318</v>
      </c>
      <c r="X75" s="159" t="s">
        <v>318</v>
      </c>
      <c r="Y75" s="159" t="s">
        <v>318</v>
      </c>
      <c r="Z75" s="159" t="s">
        <v>318</v>
      </c>
      <c r="AA75" s="159" t="s">
        <v>318</v>
      </c>
    </row>
    <row r="76" spans="1:27" s="14" customFormat="1" ht="12.75">
      <c r="A76" s="159" t="s">
        <v>318</v>
      </c>
      <c r="B76" s="159" t="s">
        <v>318</v>
      </c>
      <c r="C76" s="159" t="s">
        <v>318</v>
      </c>
      <c r="D76" s="159" t="s">
        <v>318</v>
      </c>
      <c r="E76" s="159" t="s">
        <v>318</v>
      </c>
      <c r="F76" s="159" t="s">
        <v>318</v>
      </c>
      <c r="G76" s="159" t="s">
        <v>318</v>
      </c>
      <c r="H76" s="159" t="s">
        <v>318</v>
      </c>
      <c r="I76" s="159" t="s">
        <v>318</v>
      </c>
      <c r="J76" s="159" t="s">
        <v>318</v>
      </c>
      <c r="K76" s="159" t="s">
        <v>318</v>
      </c>
      <c r="L76" s="159" t="s">
        <v>318</v>
      </c>
      <c r="M76" s="159" t="s">
        <v>318</v>
      </c>
      <c r="N76" s="159" t="s">
        <v>318</v>
      </c>
      <c r="O76" s="159" t="s">
        <v>318</v>
      </c>
      <c r="P76" s="159" t="s">
        <v>318</v>
      </c>
      <c r="Q76" s="159" t="s">
        <v>318</v>
      </c>
      <c r="R76" s="159" t="s">
        <v>318</v>
      </c>
      <c r="S76" s="159" t="s">
        <v>318</v>
      </c>
      <c r="T76" s="159" t="s">
        <v>318</v>
      </c>
      <c r="U76" s="159" t="s">
        <v>318</v>
      </c>
      <c r="V76" s="159" t="s">
        <v>318</v>
      </c>
      <c r="W76" s="159" t="s">
        <v>318</v>
      </c>
      <c r="X76" s="159" t="s">
        <v>318</v>
      </c>
      <c r="Y76" s="159" t="s">
        <v>318</v>
      </c>
      <c r="Z76" s="159" t="s">
        <v>318</v>
      </c>
      <c r="AA76" s="159" t="s">
        <v>318</v>
      </c>
    </row>
    <row r="77" spans="1:27" s="14" customFormat="1" ht="12.75">
      <c r="A77" s="159" t="s">
        <v>318</v>
      </c>
      <c r="B77" s="159" t="s">
        <v>318</v>
      </c>
      <c r="C77" s="159" t="s">
        <v>318</v>
      </c>
      <c r="D77" s="159" t="s">
        <v>318</v>
      </c>
      <c r="E77" s="159" t="s">
        <v>318</v>
      </c>
      <c r="F77" s="159" t="s">
        <v>318</v>
      </c>
      <c r="G77" s="159" t="s">
        <v>318</v>
      </c>
      <c r="H77" s="159" t="s">
        <v>318</v>
      </c>
      <c r="I77" s="159" t="s">
        <v>318</v>
      </c>
      <c r="J77" s="159" t="s">
        <v>318</v>
      </c>
      <c r="K77" s="159" t="s">
        <v>318</v>
      </c>
      <c r="L77" s="159" t="s">
        <v>318</v>
      </c>
      <c r="M77" s="159" t="s">
        <v>318</v>
      </c>
      <c r="N77" s="159" t="s">
        <v>318</v>
      </c>
      <c r="O77" s="159" t="s">
        <v>318</v>
      </c>
      <c r="P77" s="159" t="s">
        <v>318</v>
      </c>
      <c r="Q77" s="159" t="s">
        <v>318</v>
      </c>
      <c r="R77" s="159" t="s">
        <v>318</v>
      </c>
      <c r="S77" s="159" t="s">
        <v>318</v>
      </c>
      <c r="T77" s="159" t="s">
        <v>318</v>
      </c>
      <c r="U77" s="159" t="s">
        <v>318</v>
      </c>
      <c r="V77" s="159" t="s">
        <v>318</v>
      </c>
      <c r="W77" s="159" t="s">
        <v>318</v>
      </c>
      <c r="X77" s="159" t="s">
        <v>318</v>
      </c>
      <c r="Y77" s="159" t="s">
        <v>318</v>
      </c>
      <c r="Z77" s="159" t="s">
        <v>318</v>
      </c>
      <c r="AA77" s="159" t="s">
        <v>318</v>
      </c>
    </row>
    <row r="78" spans="1:27" s="14" customFormat="1" ht="12.75">
      <c r="A78" s="159" t="s">
        <v>318</v>
      </c>
      <c r="B78" s="159" t="s">
        <v>318</v>
      </c>
      <c r="C78" s="159" t="s">
        <v>318</v>
      </c>
      <c r="D78" s="159" t="s">
        <v>318</v>
      </c>
      <c r="E78" s="159" t="s">
        <v>318</v>
      </c>
      <c r="F78" s="159" t="s">
        <v>318</v>
      </c>
      <c r="G78" s="159" t="s">
        <v>318</v>
      </c>
      <c r="H78" s="159" t="s">
        <v>318</v>
      </c>
      <c r="I78" s="159" t="s">
        <v>318</v>
      </c>
      <c r="J78" s="159" t="s">
        <v>318</v>
      </c>
      <c r="K78" s="159" t="s">
        <v>318</v>
      </c>
      <c r="L78" s="159" t="s">
        <v>318</v>
      </c>
      <c r="M78" s="159" t="s">
        <v>318</v>
      </c>
      <c r="N78" s="159" t="s">
        <v>318</v>
      </c>
      <c r="O78" s="159" t="s">
        <v>318</v>
      </c>
      <c r="P78" s="159" t="s">
        <v>318</v>
      </c>
      <c r="Q78" s="159" t="s">
        <v>318</v>
      </c>
      <c r="R78" s="159" t="s">
        <v>318</v>
      </c>
      <c r="S78" s="159" t="s">
        <v>318</v>
      </c>
      <c r="T78" s="159" t="s">
        <v>318</v>
      </c>
      <c r="U78" s="159" t="s">
        <v>318</v>
      </c>
      <c r="V78" s="159" t="s">
        <v>318</v>
      </c>
      <c r="W78" s="159" t="s">
        <v>318</v>
      </c>
      <c r="X78" s="159" t="s">
        <v>318</v>
      </c>
      <c r="Y78" s="159" t="s">
        <v>318</v>
      </c>
      <c r="Z78" s="159" t="s">
        <v>318</v>
      </c>
      <c r="AA78" s="159" t="s">
        <v>318</v>
      </c>
    </row>
    <row r="79" spans="1:27" s="14" customFormat="1" ht="12.75">
      <c r="A79" s="159" t="s">
        <v>318</v>
      </c>
      <c r="B79" s="159" t="s">
        <v>318</v>
      </c>
      <c r="C79" s="159" t="s">
        <v>318</v>
      </c>
      <c r="D79" s="159" t="s">
        <v>318</v>
      </c>
      <c r="E79" s="159" t="s">
        <v>318</v>
      </c>
      <c r="F79" s="159" t="s">
        <v>318</v>
      </c>
      <c r="G79" s="159" t="s">
        <v>318</v>
      </c>
      <c r="H79" s="159" t="s">
        <v>318</v>
      </c>
      <c r="I79" s="159" t="s">
        <v>318</v>
      </c>
      <c r="J79" s="159" t="s">
        <v>318</v>
      </c>
      <c r="K79" s="159" t="s">
        <v>318</v>
      </c>
      <c r="L79" s="159" t="s">
        <v>318</v>
      </c>
      <c r="M79" s="159" t="s">
        <v>318</v>
      </c>
      <c r="N79" s="159" t="s">
        <v>318</v>
      </c>
      <c r="O79" s="159" t="s">
        <v>318</v>
      </c>
      <c r="P79" s="159" t="s">
        <v>318</v>
      </c>
      <c r="Q79" s="159" t="s">
        <v>318</v>
      </c>
      <c r="R79" s="159" t="s">
        <v>318</v>
      </c>
      <c r="S79" s="159" t="s">
        <v>318</v>
      </c>
      <c r="T79" s="159" t="s">
        <v>318</v>
      </c>
      <c r="U79" s="159" t="s">
        <v>318</v>
      </c>
      <c r="V79" s="159" t="s">
        <v>318</v>
      </c>
      <c r="W79" s="159" t="s">
        <v>318</v>
      </c>
      <c r="X79" s="159" t="s">
        <v>318</v>
      </c>
      <c r="Y79" s="159" t="s">
        <v>318</v>
      </c>
      <c r="Z79" s="159" t="s">
        <v>318</v>
      </c>
      <c r="AA79" s="159" t="s">
        <v>318</v>
      </c>
    </row>
    <row r="80" spans="1:27" s="14" customFormat="1" ht="12.75">
      <c r="A80" s="159" t="s">
        <v>318</v>
      </c>
      <c r="B80" s="159" t="s">
        <v>318</v>
      </c>
      <c r="C80" s="159" t="s">
        <v>318</v>
      </c>
      <c r="D80" s="159" t="s">
        <v>318</v>
      </c>
      <c r="E80" s="159" t="s">
        <v>318</v>
      </c>
      <c r="F80" s="159" t="s">
        <v>318</v>
      </c>
      <c r="G80" s="159" t="s">
        <v>318</v>
      </c>
      <c r="H80" s="159" t="s">
        <v>318</v>
      </c>
      <c r="I80" s="159" t="s">
        <v>318</v>
      </c>
      <c r="J80" s="159" t="s">
        <v>318</v>
      </c>
      <c r="K80" s="159" t="s">
        <v>318</v>
      </c>
      <c r="L80" s="159" t="s">
        <v>318</v>
      </c>
      <c r="M80" s="159" t="s">
        <v>318</v>
      </c>
      <c r="N80" s="159" t="s">
        <v>318</v>
      </c>
      <c r="O80" s="159" t="s">
        <v>318</v>
      </c>
      <c r="P80" s="159" t="s">
        <v>318</v>
      </c>
      <c r="Q80" s="159" t="s">
        <v>318</v>
      </c>
      <c r="R80" s="159" t="s">
        <v>318</v>
      </c>
      <c r="S80" s="159" t="s">
        <v>318</v>
      </c>
      <c r="T80" s="159" t="s">
        <v>318</v>
      </c>
      <c r="U80" s="159" t="s">
        <v>318</v>
      </c>
      <c r="V80" s="159" t="s">
        <v>318</v>
      </c>
      <c r="W80" s="159" t="s">
        <v>318</v>
      </c>
      <c r="X80" s="159" t="s">
        <v>318</v>
      </c>
      <c r="Y80" s="159" t="s">
        <v>318</v>
      </c>
      <c r="Z80" s="159" t="s">
        <v>318</v>
      </c>
      <c r="AA80" s="159" t="s">
        <v>318</v>
      </c>
    </row>
    <row r="81" spans="1:27" s="14" customFormat="1" ht="12.75">
      <c r="A81" s="159" t="s">
        <v>318</v>
      </c>
      <c r="B81" s="159" t="s">
        <v>318</v>
      </c>
      <c r="C81" s="159" t="s">
        <v>318</v>
      </c>
      <c r="D81" s="159" t="s">
        <v>318</v>
      </c>
      <c r="E81" s="159" t="s">
        <v>318</v>
      </c>
      <c r="F81" s="159" t="s">
        <v>318</v>
      </c>
      <c r="G81" s="159" t="s">
        <v>318</v>
      </c>
      <c r="H81" s="159" t="s">
        <v>318</v>
      </c>
      <c r="I81" s="159" t="s">
        <v>318</v>
      </c>
      <c r="J81" s="159" t="s">
        <v>318</v>
      </c>
      <c r="K81" s="159" t="s">
        <v>318</v>
      </c>
      <c r="L81" s="159" t="s">
        <v>318</v>
      </c>
      <c r="M81" s="159" t="s">
        <v>318</v>
      </c>
      <c r="N81" s="159" t="s">
        <v>318</v>
      </c>
      <c r="O81" s="159" t="s">
        <v>318</v>
      </c>
      <c r="P81" s="159" t="s">
        <v>318</v>
      </c>
      <c r="Q81" s="159" t="s">
        <v>318</v>
      </c>
      <c r="R81" s="159" t="s">
        <v>318</v>
      </c>
      <c r="S81" s="159" t="s">
        <v>318</v>
      </c>
      <c r="T81" s="159" t="s">
        <v>318</v>
      </c>
      <c r="U81" s="159" t="s">
        <v>318</v>
      </c>
      <c r="V81" s="159" t="s">
        <v>318</v>
      </c>
      <c r="W81" s="159" t="s">
        <v>318</v>
      </c>
      <c r="X81" s="159" t="s">
        <v>318</v>
      </c>
      <c r="Y81" s="159" t="s">
        <v>318</v>
      </c>
      <c r="Z81" s="159" t="s">
        <v>318</v>
      </c>
      <c r="AA81" s="159" t="s">
        <v>318</v>
      </c>
    </row>
    <row r="82" spans="1:27" s="14" customFormat="1" ht="12.75">
      <c r="A82" s="159" t="s">
        <v>318</v>
      </c>
      <c r="B82" s="159" t="s">
        <v>318</v>
      </c>
      <c r="C82" s="159" t="s">
        <v>318</v>
      </c>
      <c r="D82" s="159" t="s">
        <v>318</v>
      </c>
      <c r="E82" s="159" t="s">
        <v>318</v>
      </c>
      <c r="F82" s="159" t="s">
        <v>318</v>
      </c>
      <c r="G82" s="159" t="s">
        <v>318</v>
      </c>
      <c r="H82" s="159" t="s">
        <v>318</v>
      </c>
      <c r="I82" s="159" t="s">
        <v>318</v>
      </c>
      <c r="J82" s="159" t="s">
        <v>318</v>
      </c>
      <c r="K82" s="159" t="s">
        <v>318</v>
      </c>
      <c r="L82" s="159" t="s">
        <v>318</v>
      </c>
      <c r="M82" s="159" t="s">
        <v>318</v>
      </c>
      <c r="N82" s="159" t="s">
        <v>318</v>
      </c>
      <c r="O82" s="159" t="s">
        <v>318</v>
      </c>
      <c r="P82" s="159" t="s">
        <v>318</v>
      </c>
      <c r="Q82" s="159" t="s">
        <v>318</v>
      </c>
      <c r="R82" s="159" t="s">
        <v>318</v>
      </c>
      <c r="S82" s="159" t="s">
        <v>318</v>
      </c>
      <c r="T82" s="159" t="s">
        <v>318</v>
      </c>
      <c r="U82" s="159" t="s">
        <v>318</v>
      </c>
      <c r="V82" s="159" t="s">
        <v>318</v>
      </c>
      <c r="W82" s="159" t="s">
        <v>318</v>
      </c>
      <c r="X82" s="159" t="s">
        <v>318</v>
      </c>
      <c r="Y82" s="159" t="s">
        <v>318</v>
      </c>
      <c r="Z82" s="159" t="s">
        <v>318</v>
      </c>
      <c r="AA82" s="159" t="s">
        <v>318</v>
      </c>
    </row>
    <row r="83" spans="1:27" s="14" customFormat="1" ht="12.75">
      <c r="A83" s="159" t="s">
        <v>318</v>
      </c>
      <c r="B83" s="159" t="s">
        <v>318</v>
      </c>
      <c r="C83" s="159" t="s">
        <v>318</v>
      </c>
      <c r="D83" s="159" t="s">
        <v>318</v>
      </c>
      <c r="E83" s="159" t="s">
        <v>318</v>
      </c>
      <c r="F83" s="159" t="s">
        <v>318</v>
      </c>
      <c r="G83" s="159" t="s">
        <v>318</v>
      </c>
      <c r="H83" s="159" t="s">
        <v>318</v>
      </c>
      <c r="I83" s="159" t="s">
        <v>318</v>
      </c>
      <c r="J83" s="159" t="s">
        <v>318</v>
      </c>
      <c r="K83" s="159" t="s">
        <v>318</v>
      </c>
      <c r="L83" s="159" t="s">
        <v>318</v>
      </c>
      <c r="M83" s="159" t="s">
        <v>318</v>
      </c>
      <c r="N83" s="159" t="s">
        <v>318</v>
      </c>
      <c r="O83" s="159" t="s">
        <v>318</v>
      </c>
      <c r="P83" s="159" t="s">
        <v>318</v>
      </c>
      <c r="Q83" s="159" t="s">
        <v>318</v>
      </c>
      <c r="R83" s="159" t="s">
        <v>318</v>
      </c>
      <c r="S83" s="159" t="s">
        <v>318</v>
      </c>
      <c r="T83" s="159" t="s">
        <v>318</v>
      </c>
      <c r="U83" s="159" t="s">
        <v>318</v>
      </c>
      <c r="V83" s="159" t="s">
        <v>318</v>
      </c>
      <c r="W83" s="159" t="s">
        <v>318</v>
      </c>
      <c r="X83" s="159" t="s">
        <v>318</v>
      </c>
      <c r="Y83" s="159" t="s">
        <v>318</v>
      </c>
      <c r="Z83" s="159" t="s">
        <v>318</v>
      </c>
      <c r="AA83" s="159" t="s">
        <v>318</v>
      </c>
    </row>
    <row r="84" spans="1:27" s="14" customFormat="1" ht="12.75">
      <c r="A84" s="159" t="s">
        <v>318</v>
      </c>
      <c r="B84" s="159" t="s">
        <v>318</v>
      </c>
      <c r="C84" s="159" t="s">
        <v>318</v>
      </c>
      <c r="D84" s="159" t="s">
        <v>318</v>
      </c>
      <c r="E84" s="159" t="s">
        <v>318</v>
      </c>
      <c r="F84" s="159" t="s">
        <v>318</v>
      </c>
      <c r="G84" s="159" t="s">
        <v>318</v>
      </c>
      <c r="H84" s="159" t="s">
        <v>318</v>
      </c>
      <c r="I84" s="159" t="s">
        <v>318</v>
      </c>
      <c r="J84" s="159" t="s">
        <v>318</v>
      </c>
      <c r="K84" s="159" t="s">
        <v>318</v>
      </c>
      <c r="L84" s="159" t="s">
        <v>318</v>
      </c>
      <c r="M84" s="159" t="s">
        <v>318</v>
      </c>
      <c r="N84" s="159" t="s">
        <v>318</v>
      </c>
      <c r="O84" s="159" t="s">
        <v>318</v>
      </c>
      <c r="P84" s="159" t="s">
        <v>318</v>
      </c>
      <c r="Q84" s="159" t="s">
        <v>318</v>
      </c>
      <c r="R84" s="159" t="s">
        <v>318</v>
      </c>
      <c r="S84" s="159" t="s">
        <v>318</v>
      </c>
      <c r="T84" s="159" t="s">
        <v>318</v>
      </c>
      <c r="U84" s="159" t="s">
        <v>318</v>
      </c>
      <c r="V84" s="159" t="s">
        <v>318</v>
      </c>
      <c r="W84" s="159" t="s">
        <v>318</v>
      </c>
      <c r="X84" s="159" t="s">
        <v>318</v>
      </c>
      <c r="Y84" s="159" t="s">
        <v>318</v>
      </c>
      <c r="Z84" s="159" t="s">
        <v>318</v>
      </c>
      <c r="AA84" s="159" t="s">
        <v>318</v>
      </c>
    </row>
    <row r="85" spans="1:27" s="14" customFormat="1" ht="12.75">
      <c r="A85" s="159" t="s">
        <v>318</v>
      </c>
      <c r="B85" s="159" t="s">
        <v>318</v>
      </c>
      <c r="C85" s="159" t="s">
        <v>318</v>
      </c>
      <c r="D85" s="159" t="s">
        <v>318</v>
      </c>
      <c r="E85" s="159" t="s">
        <v>318</v>
      </c>
      <c r="F85" s="159" t="s">
        <v>318</v>
      </c>
      <c r="G85" s="159" t="s">
        <v>318</v>
      </c>
      <c r="H85" s="159" t="s">
        <v>318</v>
      </c>
      <c r="I85" s="159" t="s">
        <v>318</v>
      </c>
      <c r="J85" s="159" t="s">
        <v>318</v>
      </c>
      <c r="K85" s="159" t="s">
        <v>318</v>
      </c>
      <c r="L85" s="159" t="s">
        <v>318</v>
      </c>
      <c r="M85" s="159" t="s">
        <v>318</v>
      </c>
      <c r="N85" s="159" t="s">
        <v>318</v>
      </c>
      <c r="O85" s="159" t="s">
        <v>318</v>
      </c>
      <c r="P85" s="159" t="s">
        <v>318</v>
      </c>
      <c r="Q85" s="159" t="s">
        <v>318</v>
      </c>
      <c r="R85" s="159" t="s">
        <v>318</v>
      </c>
      <c r="S85" s="159" t="s">
        <v>318</v>
      </c>
      <c r="T85" s="159" t="s">
        <v>318</v>
      </c>
      <c r="U85" s="159" t="s">
        <v>318</v>
      </c>
      <c r="V85" s="159" t="s">
        <v>318</v>
      </c>
      <c r="W85" s="159" t="s">
        <v>318</v>
      </c>
      <c r="X85" s="159" t="s">
        <v>318</v>
      </c>
      <c r="Y85" s="159" t="s">
        <v>318</v>
      </c>
      <c r="Z85" s="159" t="s">
        <v>318</v>
      </c>
      <c r="AA85" s="159" t="s">
        <v>318</v>
      </c>
    </row>
    <row r="86" spans="1:27" s="14" customFormat="1" ht="12.75">
      <c r="A86" s="159" t="s">
        <v>318</v>
      </c>
      <c r="B86" s="159" t="s">
        <v>318</v>
      </c>
      <c r="C86" s="159" t="s">
        <v>318</v>
      </c>
      <c r="D86" s="159" t="s">
        <v>318</v>
      </c>
      <c r="E86" s="159" t="s">
        <v>318</v>
      </c>
      <c r="F86" s="159" t="s">
        <v>318</v>
      </c>
      <c r="G86" s="159" t="s">
        <v>318</v>
      </c>
      <c r="H86" s="159" t="s">
        <v>318</v>
      </c>
      <c r="I86" s="159" t="s">
        <v>318</v>
      </c>
      <c r="J86" s="159" t="s">
        <v>318</v>
      </c>
      <c r="K86" s="159" t="s">
        <v>318</v>
      </c>
      <c r="L86" s="159" t="s">
        <v>318</v>
      </c>
      <c r="M86" s="159" t="s">
        <v>318</v>
      </c>
      <c r="N86" s="159" t="s">
        <v>318</v>
      </c>
      <c r="O86" s="159" t="s">
        <v>318</v>
      </c>
      <c r="P86" s="159" t="s">
        <v>318</v>
      </c>
      <c r="Q86" s="159" t="s">
        <v>318</v>
      </c>
      <c r="R86" s="159" t="s">
        <v>318</v>
      </c>
      <c r="S86" s="159" t="s">
        <v>318</v>
      </c>
      <c r="T86" s="159" t="s">
        <v>318</v>
      </c>
      <c r="U86" s="159" t="s">
        <v>318</v>
      </c>
      <c r="V86" s="159" t="s">
        <v>318</v>
      </c>
      <c r="W86" s="159" t="s">
        <v>318</v>
      </c>
      <c r="X86" s="159" t="s">
        <v>318</v>
      </c>
      <c r="Y86" s="159" t="s">
        <v>318</v>
      </c>
      <c r="Z86" s="159" t="s">
        <v>318</v>
      </c>
      <c r="AA86" s="159" t="s">
        <v>318</v>
      </c>
    </row>
    <row r="87" spans="1:27" s="14" customFormat="1" ht="12.75">
      <c r="A87" s="159" t="s">
        <v>318</v>
      </c>
      <c r="B87" s="159" t="s">
        <v>318</v>
      </c>
      <c r="C87" s="159" t="s">
        <v>318</v>
      </c>
      <c r="D87" s="159" t="s">
        <v>318</v>
      </c>
      <c r="E87" s="159" t="s">
        <v>318</v>
      </c>
      <c r="F87" s="159" t="s">
        <v>318</v>
      </c>
      <c r="G87" s="159" t="s">
        <v>318</v>
      </c>
      <c r="H87" s="159" t="s">
        <v>318</v>
      </c>
      <c r="I87" s="159" t="s">
        <v>318</v>
      </c>
      <c r="J87" s="159" t="s">
        <v>318</v>
      </c>
      <c r="K87" s="159" t="s">
        <v>318</v>
      </c>
      <c r="L87" s="159" t="s">
        <v>318</v>
      </c>
      <c r="M87" s="159" t="s">
        <v>318</v>
      </c>
      <c r="N87" s="159" t="s">
        <v>318</v>
      </c>
      <c r="O87" s="159" t="s">
        <v>318</v>
      </c>
      <c r="P87" s="159" t="s">
        <v>318</v>
      </c>
      <c r="Q87" s="159" t="s">
        <v>318</v>
      </c>
      <c r="R87" s="159" t="s">
        <v>318</v>
      </c>
      <c r="S87" s="159" t="s">
        <v>318</v>
      </c>
      <c r="T87" s="159" t="s">
        <v>318</v>
      </c>
      <c r="U87" s="159" t="s">
        <v>318</v>
      </c>
      <c r="V87" s="159" t="s">
        <v>318</v>
      </c>
      <c r="W87" s="159" t="s">
        <v>318</v>
      </c>
      <c r="X87" s="159" t="s">
        <v>318</v>
      </c>
      <c r="Y87" s="159" t="s">
        <v>318</v>
      </c>
      <c r="Z87" s="159" t="s">
        <v>318</v>
      </c>
      <c r="AA87" s="159" t="s">
        <v>318</v>
      </c>
    </row>
    <row r="88" spans="1:27" s="14" customFormat="1" ht="12.75">
      <c r="A88" s="159" t="s">
        <v>318</v>
      </c>
      <c r="B88" s="159" t="s">
        <v>318</v>
      </c>
      <c r="C88" s="159" t="s">
        <v>318</v>
      </c>
      <c r="D88" s="159" t="s">
        <v>318</v>
      </c>
      <c r="E88" s="159" t="s">
        <v>318</v>
      </c>
      <c r="F88" s="159" t="s">
        <v>318</v>
      </c>
      <c r="G88" s="159" t="s">
        <v>318</v>
      </c>
      <c r="H88" s="159" t="s">
        <v>318</v>
      </c>
      <c r="I88" s="159" t="s">
        <v>318</v>
      </c>
      <c r="J88" s="159" t="s">
        <v>318</v>
      </c>
      <c r="K88" s="159" t="s">
        <v>318</v>
      </c>
      <c r="L88" s="159" t="s">
        <v>318</v>
      </c>
      <c r="M88" s="159" t="s">
        <v>318</v>
      </c>
      <c r="N88" s="159" t="s">
        <v>318</v>
      </c>
      <c r="O88" s="159" t="s">
        <v>318</v>
      </c>
      <c r="P88" s="159" t="s">
        <v>318</v>
      </c>
      <c r="Q88" s="159" t="s">
        <v>318</v>
      </c>
      <c r="R88" s="159" t="s">
        <v>318</v>
      </c>
      <c r="S88" s="159" t="s">
        <v>318</v>
      </c>
      <c r="T88" s="159" t="s">
        <v>318</v>
      </c>
      <c r="U88" s="159" t="s">
        <v>318</v>
      </c>
      <c r="V88" s="159" t="s">
        <v>318</v>
      </c>
      <c r="W88" s="159" t="s">
        <v>318</v>
      </c>
      <c r="X88" s="159" t="s">
        <v>318</v>
      </c>
      <c r="Y88" s="159" t="s">
        <v>318</v>
      </c>
      <c r="Z88" s="159" t="s">
        <v>318</v>
      </c>
      <c r="AA88" s="159" t="s">
        <v>318</v>
      </c>
    </row>
    <row r="89" spans="1:27" s="14" customFormat="1" ht="12.75">
      <c r="A89" s="159" t="s">
        <v>318</v>
      </c>
      <c r="B89" s="159" t="s">
        <v>318</v>
      </c>
      <c r="C89" s="159" t="s">
        <v>318</v>
      </c>
      <c r="D89" s="159" t="s">
        <v>318</v>
      </c>
      <c r="E89" s="159" t="s">
        <v>318</v>
      </c>
      <c r="F89" s="159" t="s">
        <v>318</v>
      </c>
      <c r="G89" s="159" t="s">
        <v>318</v>
      </c>
      <c r="H89" s="159" t="s">
        <v>318</v>
      </c>
      <c r="I89" s="159" t="s">
        <v>318</v>
      </c>
      <c r="J89" s="159" t="s">
        <v>318</v>
      </c>
      <c r="K89" s="159" t="s">
        <v>318</v>
      </c>
      <c r="L89" s="159" t="s">
        <v>318</v>
      </c>
      <c r="M89" s="159" t="s">
        <v>318</v>
      </c>
      <c r="N89" s="159" t="s">
        <v>318</v>
      </c>
      <c r="O89" s="159" t="s">
        <v>318</v>
      </c>
      <c r="P89" s="159" t="s">
        <v>318</v>
      </c>
      <c r="Q89" s="159" t="s">
        <v>318</v>
      </c>
      <c r="R89" s="159" t="s">
        <v>318</v>
      </c>
      <c r="S89" s="159" t="s">
        <v>318</v>
      </c>
      <c r="T89" s="159" t="s">
        <v>318</v>
      </c>
      <c r="U89" s="159" t="s">
        <v>318</v>
      </c>
      <c r="V89" s="159" t="s">
        <v>318</v>
      </c>
      <c r="W89" s="159" t="s">
        <v>318</v>
      </c>
      <c r="X89" s="159" t="s">
        <v>318</v>
      </c>
      <c r="Y89" s="159" t="s">
        <v>318</v>
      </c>
      <c r="Z89" s="159" t="s">
        <v>318</v>
      </c>
      <c r="AA89" s="159" t="s">
        <v>318</v>
      </c>
    </row>
    <row r="90" spans="1:27" s="14" customFormat="1" ht="12.75">
      <c r="A90" s="159" t="s">
        <v>318</v>
      </c>
      <c r="B90" s="159" t="s">
        <v>318</v>
      </c>
      <c r="C90" s="159" t="s">
        <v>318</v>
      </c>
      <c r="D90" s="159" t="s">
        <v>318</v>
      </c>
      <c r="E90" s="159" t="s">
        <v>318</v>
      </c>
      <c r="F90" s="159" t="s">
        <v>318</v>
      </c>
      <c r="G90" s="159" t="s">
        <v>318</v>
      </c>
      <c r="H90" s="159" t="s">
        <v>318</v>
      </c>
      <c r="I90" s="159" t="s">
        <v>318</v>
      </c>
      <c r="J90" s="159" t="s">
        <v>318</v>
      </c>
      <c r="K90" s="159" t="s">
        <v>318</v>
      </c>
      <c r="L90" s="159" t="s">
        <v>318</v>
      </c>
      <c r="M90" s="159" t="s">
        <v>318</v>
      </c>
      <c r="N90" s="159" t="s">
        <v>318</v>
      </c>
      <c r="O90" s="159" t="s">
        <v>318</v>
      </c>
      <c r="P90" s="159" t="s">
        <v>318</v>
      </c>
      <c r="Q90" s="159" t="s">
        <v>318</v>
      </c>
      <c r="R90" s="159" t="s">
        <v>318</v>
      </c>
      <c r="S90" s="159" t="s">
        <v>318</v>
      </c>
      <c r="T90" s="159" t="s">
        <v>318</v>
      </c>
      <c r="U90" s="159" t="s">
        <v>318</v>
      </c>
      <c r="V90" s="159" t="s">
        <v>318</v>
      </c>
      <c r="W90" s="159" t="s">
        <v>318</v>
      </c>
      <c r="X90" s="159" t="s">
        <v>318</v>
      </c>
      <c r="Y90" s="159" t="s">
        <v>318</v>
      </c>
      <c r="Z90" s="159" t="s">
        <v>318</v>
      </c>
      <c r="AA90" s="159" t="s">
        <v>318</v>
      </c>
    </row>
    <row r="91" spans="1:27" s="14" customFormat="1" ht="12.75">
      <c r="A91" s="159" t="s">
        <v>318</v>
      </c>
      <c r="B91" s="159" t="s">
        <v>318</v>
      </c>
      <c r="C91" s="159" t="s">
        <v>318</v>
      </c>
      <c r="D91" s="159" t="s">
        <v>318</v>
      </c>
      <c r="E91" s="159" t="s">
        <v>318</v>
      </c>
      <c r="F91" s="159" t="s">
        <v>318</v>
      </c>
      <c r="G91" s="159" t="s">
        <v>318</v>
      </c>
      <c r="H91" s="159" t="s">
        <v>318</v>
      </c>
      <c r="I91" s="159" t="s">
        <v>318</v>
      </c>
      <c r="J91" s="159" t="s">
        <v>318</v>
      </c>
      <c r="K91" s="159" t="s">
        <v>318</v>
      </c>
      <c r="L91" s="159" t="s">
        <v>318</v>
      </c>
      <c r="M91" s="159" t="s">
        <v>318</v>
      </c>
      <c r="N91" s="159" t="s">
        <v>318</v>
      </c>
      <c r="O91" s="159" t="s">
        <v>318</v>
      </c>
      <c r="P91" s="159" t="s">
        <v>318</v>
      </c>
      <c r="Q91" s="159" t="s">
        <v>318</v>
      </c>
      <c r="R91" s="159" t="s">
        <v>318</v>
      </c>
      <c r="S91" s="159" t="s">
        <v>318</v>
      </c>
      <c r="T91" s="159" t="s">
        <v>318</v>
      </c>
      <c r="U91" s="159" t="s">
        <v>318</v>
      </c>
      <c r="V91" s="159" t="s">
        <v>318</v>
      </c>
      <c r="W91" s="159" t="s">
        <v>318</v>
      </c>
      <c r="X91" s="159" t="s">
        <v>318</v>
      </c>
      <c r="Y91" s="159" t="s">
        <v>318</v>
      </c>
      <c r="Z91" s="159" t="s">
        <v>318</v>
      </c>
      <c r="AA91" s="159" t="s">
        <v>318</v>
      </c>
    </row>
    <row r="92" spans="1:27" s="14" customFormat="1" ht="12.75">
      <c r="A92" s="159" t="s">
        <v>318</v>
      </c>
      <c r="B92" s="159" t="s">
        <v>318</v>
      </c>
      <c r="C92" s="159" t="s">
        <v>318</v>
      </c>
      <c r="D92" s="159" t="s">
        <v>318</v>
      </c>
      <c r="E92" s="159" t="s">
        <v>318</v>
      </c>
      <c r="F92" s="159" t="s">
        <v>318</v>
      </c>
      <c r="G92" s="159" t="s">
        <v>318</v>
      </c>
      <c r="H92" s="159" t="s">
        <v>318</v>
      </c>
      <c r="I92" s="159" t="s">
        <v>318</v>
      </c>
      <c r="J92" s="159" t="s">
        <v>318</v>
      </c>
      <c r="K92" s="159" t="s">
        <v>318</v>
      </c>
      <c r="L92" s="159" t="s">
        <v>318</v>
      </c>
      <c r="M92" s="159" t="s">
        <v>318</v>
      </c>
      <c r="N92" s="159" t="s">
        <v>318</v>
      </c>
      <c r="O92" s="159" t="s">
        <v>318</v>
      </c>
      <c r="P92" s="159" t="s">
        <v>318</v>
      </c>
      <c r="Q92" s="159" t="s">
        <v>318</v>
      </c>
      <c r="R92" s="159" t="s">
        <v>318</v>
      </c>
      <c r="S92" s="159" t="s">
        <v>318</v>
      </c>
      <c r="T92" s="159" t="s">
        <v>318</v>
      </c>
      <c r="U92" s="159" t="s">
        <v>318</v>
      </c>
      <c r="V92" s="159" t="s">
        <v>318</v>
      </c>
      <c r="W92" s="159" t="s">
        <v>318</v>
      </c>
      <c r="X92" s="159" t="s">
        <v>318</v>
      </c>
      <c r="Y92" s="159" t="s">
        <v>318</v>
      </c>
      <c r="Z92" s="159" t="s">
        <v>318</v>
      </c>
      <c r="AA92" s="159" t="s">
        <v>318</v>
      </c>
    </row>
    <row r="93" spans="1:27" s="14" customFormat="1" ht="12.75">
      <c r="A93" s="159" t="s">
        <v>318</v>
      </c>
      <c r="B93" s="159" t="s">
        <v>318</v>
      </c>
      <c r="C93" s="159" t="s">
        <v>318</v>
      </c>
      <c r="D93" s="159" t="s">
        <v>318</v>
      </c>
      <c r="E93" s="159" t="s">
        <v>318</v>
      </c>
      <c r="F93" s="159" t="s">
        <v>318</v>
      </c>
      <c r="G93" s="159" t="s">
        <v>318</v>
      </c>
      <c r="H93" s="159" t="s">
        <v>318</v>
      </c>
      <c r="I93" s="159" t="s">
        <v>318</v>
      </c>
      <c r="J93" s="159" t="s">
        <v>318</v>
      </c>
      <c r="K93" s="159" t="s">
        <v>318</v>
      </c>
      <c r="L93" s="159" t="s">
        <v>318</v>
      </c>
      <c r="M93" s="159" t="s">
        <v>318</v>
      </c>
      <c r="N93" s="159" t="s">
        <v>318</v>
      </c>
      <c r="O93" s="159" t="s">
        <v>318</v>
      </c>
      <c r="P93" s="159" t="s">
        <v>318</v>
      </c>
      <c r="Q93" s="159" t="s">
        <v>318</v>
      </c>
      <c r="R93" s="159" t="s">
        <v>318</v>
      </c>
      <c r="S93" s="159" t="s">
        <v>318</v>
      </c>
      <c r="T93" s="159" t="s">
        <v>318</v>
      </c>
      <c r="U93" s="159" t="s">
        <v>318</v>
      </c>
      <c r="V93" s="159" t="s">
        <v>318</v>
      </c>
      <c r="W93" s="159" t="s">
        <v>318</v>
      </c>
      <c r="X93" s="159" t="s">
        <v>318</v>
      </c>
      <c r="Y93" s="159" t="s">
        <v>318</v>
      </c>
      <c r="Z93" s="159" t="s">
        <v>318</v>
      </c>
      <c r="AA93" s="159" t="s">
        <v>318</v>
      </c>
    </row>
    <row r="94" spans="1:27" s="14" customFormat="1" ht="12.75">
      <c r="A94" s="159" t="s">
        <v>318</v>
      </c>
      <c r="B94" s="159" t="s">
        <v>318</v>
      </c>
      <c r="C94" s="159" t="s">
        <v>318</v>
      </c>
      <c r="D94" s="159" t="s">
        <v>318</v>
      </c>
      <c r="E94" s="159" t="s">
        <v>318</v>
      </c>
      <c r="F94" s="159" t="s">
        <v>318</v>
      </c>
      <c r="G94" s="159" t="s">
        <v>318</v>
      </c>
      <c r="H94" s="159" t="s">
        <v>318</v>
      </c>
      <c r="I94" s="159" t="s">
        <v>318</v>
      </c>
      <c r="J94" s="159" t="s">
        <v>318</v>
      </c>
      <c r="K94" s="159" t="s">
        <v>318</v>
      </c>
      <c r="L94" s="159" t="s">
        <v>318</v>
      </c>
      <c r="M94" s="159" t="s">
        <v>318</v>
      </c>
      <c r="N94" s="159" t="s">
        <v>318</v>
      </c>
      <c r="O94" s="159" t="s">
        <v>318</v>
      </c>
      <c r="P94" s="159" t="s">
        <v>318</v>
      </c>
      <c r="Q94" s="159" t="s">
        <v>318</v>
      </c>
      <c r="R94" s="159" t="s">
        <v>318</v>
      </c>
      <c r="S94" s="159" t="s">
        <v>318</v>
      </c>
      <c r="T94" s="159" t="s">
        <v>318</v>
      </c>
      <c r="U94" s="159" t="s">
        <v>318</v>
      </c>
      <c r="V94" s="159" t="s">
        <v>318</v>
      </c>
      <c r="W94" s="159" t="s">
        <v>318</v>
      </c>
      <c r="X94" s="159" t="s">
        <v>318</v>
      </c>
      <c r="Y94" s="159" t="s">
        <v>318</v>
      </c>
      <c r="Z94" s="159" t="s">
        <v>318</v>
      </c>
      <c r="AA94" s="159" t="s">
        <v>318</v>
      </c>
    </row>
    <row r="95" spans="1:27" s="14" customFormat="1" ht="12.75">
      <c r="A95" s="159" t="s">
        <v>318</v>
      </c>
      <c r="B95" s="159" t="s">
        <v>318</v>
      </c>
      <c r="C95" s="159" t="s">
        <v>318</v>
      </c>
      <c r="D95" s="159" t="s">
        <v>318</v>
      </c>
      <c r="E95" s="159" t="s">
        <v>318</v>
      </c>
      <c r="F95" s="159" t="s">
        <v>318</v>
      </c>
      <c r="G95" s="159" t="s">
        <v>318</v>
      </c>
      <c r="H95" s="159" t="s">
        <v>318</v>
      </c>
      <c r="I95" s="159" t="s">
        <v>318</v>
      </c>
      <c r="J95" s="159" t="s">
        <v>318</v>
      </c>
      <c r="K95" s="159" t="s">
        <v>318</v>
      </c>
      <c r="L95" s="159" t="s">
        <v>318</v>
      </c>
      <c r="M95" s="159" t="s">
        <v>318</v>
      </c>
      <c r="N95" s="159" t="s">
        <v>318</v>
      </c>
      <c r="O95" s="159" t="s">
        <v>318</v>
      </c>
      <c r="P95" s="159" t="s">
        <v>318</v>
      </c>
      <c r="Q95" s="159" t="s">
        <v>318</v>
      </c>
      <c r="R95" s="159" t="s">
        <v>318</v>
      </c>
      <c r="S95" s="159" t="s">
        <v>318</v>
      </c>
      <c r="T95" s="159" t="s">
        <v>318</v>
      </c>
      <c r="U95" s="159" t="s">
        <v>318</v>
      </c>
      <c r="V95" s="159" t="s">
        <v>318</v>
      </c>
      <c r="W95" s="159" t="s">
        <v>318</v>
      </c>
      <c r="X95" s="159" t="s">
        <v>318</v>
      </c>
      <c r="Y95" s="159" t="s">
        <v>318</v>
      </c>
      <c r="Z95" s="159" t="s">
        <v>318</v>
      </c>
      <c r="AA95" s="159" t="s">
        <v>318</v>
      </c>
    </row>
    <row r="96" spans="1:27" s="14" customFormat="1" ht="12.75">
      <c r="A96" s="159" t="s">
        <v>318</v>
      </c>
      <c r="B96" s="159" t="s">
        <v>318</v>
      </c>
      <c r="C96" s="159" t="s">
        <v>318</v>
      </c>
      <c r="D96" s="159" t="s">
        <v>318</v>
      </c>
      <c r="E96" s="159" t="s">
        <v>318</v>
      </c>
      <c r="F96" s="159" t="s">
        <v>318</v>
      </c>
      <c r="G96" s="159" t="s">
        <v>318</v>
      </c>
      <c r="H96" s="159" t="s">
        <v>318</v>
      </c>
      <c r="I96" s="159" t="s">
        <v>318</v>
      </c>
      <c r="J96" s="159" t="s">
        <v>318</v>
      </c>
      <c r="K96" s="159" t="s">
        <v>318</v>
      </c>
      <c r="L96" s="159" t="s">
        <v>318</v>
      </c>
      <c r="M96" s="159" t="s">
        <v>318</v>
      </c>
      <c r="N96" s="159" t="s">
        <v>318</v>
      </c>
      <c r="O96" s="159" t="s">
        <v>318</v>
      </c>
      <c r="P96" s="159" t="s">
        <v>318</v>
      </c>
      <c r="Q96" s="159" t="s">
        <v>318</v>
      </c>
      <c r="R96" s="159" t="s">
        <v>318</v>
      </c>
      <c r="S96" s="159" t="s">
        <v>318</v>
      </c>
      <c r="T96" s="159" t="s">
        <v>318</v>
      </c>
      <c r="U96" s="159" t="s">
        <v>318</v>
      </c>
      <c r="V96" s="159" t="s">
        <v>318</v>
      </c>
      <c r="W96" s="159" t="s">
        <v>318</v>
      </c>
      <c r="X96" s="159" t="s">
        <v>318</v>
      </c>
      <c r="Y96" s="159" t="s">
        <v>318</v>
      </c>
      <c r="Z96" s="159" t="s">
        <v>318</v>
      </c>
      <c r="AA96" s="159" t="s">
        <v>318</v>
      </c>
    </row>
    <row r="97" spans="1:27" s="14" customFormat="1" ht="12.75">
      <c r="A97" s="159" t="s">
        <v>318</v>
      </c>
      <c r="B97" s="159" t="s">
        <v>318</v>
      </c>
      <c r="C97" s="159" t="s">
        <v>318</v>
      </c>
      <c r="D97" s="159" t="s">
        <v>318</v>
      </c>
      <c r="E97" s="159" t="s">
        <v>318</v>
      </c>
      <c r="F97" s="159" t="s">
        <v>318</v>
      </c>
      <c r="G97" s="159" t="s">
        <v>318</v>
      </c>
      <c r="H97" s="159" t="s">
        <v>318</v>
      </c>
      <c r="I97" s="159" t="s">
        <v>318</v>
      </c>
      <c r="J97" s="159" t="s">
        <v>318</v>
      </c>
      <c r="K97" s="159" t="s">
        <v>318</v>
      </c>
      <c r="L97" s="159" t="s">
        <v>318</v>
      </c>
      <c r="M97" s="159" t="s">
        <v>318</v>
      </c>
      <c r="N97" s="159" t="s">
        <v>318</v>
      </c>
      <c r="O97" s="159" t="s">
        <v>318</v>
      </c>
      <c r="P97" s="159" t="s">
        <v>318</v>
      </c>
      <c r="Q97" s="159" t="s">
        <v>318</v>
      </c>
      <c r="R97" s="159" t="s">
        <v>318</v>
      </c>
      <c r="S97" s="159" t="s">
        <v>318</v>
      </c>
      <c r="T97" s="159" t="s">
        <v>318</v>
      </c>
      <c r="U97" s="159" t="s">
        <v>318</v>
      </c>
      <c r="V97" s="159" t="s">
        <v>318</v>
      </c>
      <c r="W97" s="159" t="s">
        <v>318</v>
      </c>
      <c r="X97" s="159" t="s">
        <v>318</v>
      </c>
      <c r="Y97" s="159" t="s">
        <v>318</v>
      </c>
      <c r="Z97" s="159" t="s">
        <v>318</v>
      </c>
      <c r="AA97" s="159" t="s">
        <v>318</v>
      </c>
    </row>
    <row r="98" spans="1:27" s="14" customFormat="1" ht="12.75">
      <c r="A98" s="159" t="s">
        <v>318</v>
      </c>
      <c r="B98" s="159" t="s">
        <v>318</v>
      </c>
      <c r="C98" s="159" t="s">
        <v>318</v>
      </c>
      <c r="D98" s="159" t="s">
        <v>318</v>
      </c>
      <c r="E98" s="159" t="s">
        <v>318</v>
      </c>
      <c r="F98" s="159" t="s">
        <v>318</v>
      </c>
      <c r="G98" s="159" t="s">
        <v>318</v>
      </c>
      <c r="H98" s="159" t="s">
        <v>318</v>
      </c>
      <c r="I98" s="159" t="s">
        <v>318</v>
      </c>
      <c r="J98" s="159" t="s">
        <v>318</v>
      </c>
      <c r="K98" s="159" t="s">
        <v>318</v>
      </c>
      <c r="L98" s="159" t="s">
        <v>318</v>
      </c>
      <c r="M98" s="159" t="s">
        <v>318</v>
      </c>
      <c r="N98" s="159" t="s">
        <v>318</v>
      </c>
      <c r="O98" s="159" t="s">
        <v>318</v>
      </c>
      <c r="P98" s="159" t="s">
        <v>318</v>
      </c>
      <c r="Q98" s="159" t="s">
        <v>318</v>
      </c>
      <c r="R98" s="159" t="s">
        <v>318</v>
      </c>
      <c r="S98" s="159" t="s">
        <v>318</v>
      </c>
      <c r="T98" s="159" t="s">
        <v>318</v>
      </c>
      <c r="U98" s="159" t="s">
        <v>318</v>
      </c>
      <c r="V98" s="159" t="s">
        <v>318</v>
      </c>
      <c r="W98" s="159" t="s">
        <v>318</v>
      </c>
      <c r="X98" s="159" t="s">
        <v>318</v>
      </c>
      <c r="Y98" s="159" t="s">
        <v>318</v>
      </c>
      <c r="Z98" s="159" t="s">
        <v>318</v>
      </c>
      <c r="AA98" s="159" t="s">
        <v>318</v>
      </c>
    </row>
    <row r="99" spans="1:27" s="14" customFormat="1" ht="12.75">
      <c r="A99" s="159" t="s">
        <v>318</v>
      </c>
      <c r="B99" s="159" t="s">
        <v>318</v>
      </c>
      <c r="C99" s="159" t="s">
        <v>318</v>
      </c>
      <c r="D99" s="159" t="s">
        <v>318</v>
      </c>
      <c r="E99" s="159" t="s">
        <v>318</v>
      </c>
      <c r="F99" s="159" t="s">
        <v>318</v>
      </c>
      <c r="G99" s="159" t="s">
        <v>318</v>
      </c>
      <c r="H99" s="159" t="s">
        <v>318</v>
      </c>
      <c r="I99" s="159" t="s">
        <v>318</v>
      </c>
      <c r="J99" s="159" t="s">
        <v>318</v>
      </c>
      <c r="K99" s="159" t="s">
        <v>318</v>
      </c>
      <c r="L99" s="159" t="s">
        <v>318</v>
      </c>
      <c r="M99" s="159" t="s">
        <v>318</v>
      </c>
      <c r="N99" s="159" t="s">
        <v>318</v>
      </c>
      <c r="O99" s="159" t="s">
        <v>318</v>
      </c>
      <c r="P99" s="159" t="s">
        <v>318</v>
      </c>
      <c r="Q99" s="159" t="s">
        <v>318</v>
      </c>
      <c r="R99" s="159" t="s">
        <v>318</v>
      </c>
      <c r="S99" s="159" t="s">
        <v>318</v>
      </c>
      <c r="T99" s="159" t="s">
        <v>318</v>
      </c>
      <c r="U99" s="159" t="s">
        <v>318</v>
      </c>
      <c r="V99" s="159" t="s">
        <v>318</v>
      </c>
      <c r="W99" s="159" t="s">
        <v>318</v>
      </c>
      <c r="X99" s="159" t="s">
        <v>318</v>
      </c>
      <c r="Y99" s="159" t="s">
        <v>318</v>
      </c>
      <c r="Z99" s="159" t="s">
        <v>318</v>
      </c>
      <c r="AA99" s="159" t="s">
        <v>318</v>
      </c>
    </row>
    <row r="100" spans="1:27" s="14" customFormat="1" ht="12.75">
      <c r="A100" s="159" t="s">
        <v>318</v>
      </c>
      <c r="B100" s="159" t="s">
        <v>318</v>
      </c>
      <c r="C100" s="159" t="s">
        <v>318</v>
      </c>
      <c r="D100" s="159" t="s">
        <v>318</v>
      </c>
      <c r="E100" s="159" t="s">
        <v>318</v>
      </c>
      <c r="F100" s="159" t="s">
        <v>318</v>
      </c>
      <c r="G100" s="159" t="s">
        <v>318</v>
      </c>
      <c r="H100" s="159" t="s">
        <v>318</v>
      </c>
      <c r="I100" s="159" t="s">
        <v>318</v>
      </c>
      <c r="J100" s="159" t="s">
        <v>318</v>
      </c>
      <c r="K100" s="159" t="s">
        <v>318</v>
      </c>
      <c r="L100" s="159" t="s">
        <v>318</v>
      </c>
      <c r="M100" s="159" t="s">
        <v>318</v>
      </c>
      <c r="N100" s="159" t="s">
        <v>318</v>
      </c>
      <c r="O100" s="159" t="s">
        <v>318</v>
      </c>
      <c r="P100" s="159" t="s">
        <v>318</v>
      </c>
      <c r="Q100" s="159" t="s">
        <v>318</v>
      </c>
      <c r="R100" s="159" t="s">
        <v>318</v>
      </c>
      <c r="S100" s="159" t="s">
        <v>318</v>
      </c>
      <c r="T100" s="159" t="s">
        <v>318</v>
      </c>
      <c r="U100" s="159" t="s">
        <v>318</v>
      </c>
      <c r="V100" s="159" t="s">
        <v>318</v>
      </c>
      <c r="W100" s="159" t="s">
        <v>318</v>
      </c>
      <c r="X100" s="159" t="s">
        <v>318</v>
      </c>
      <c r="Y100" s="159" t="s">
        <v>318</v>
      </c>
      <c r="Z100" s="159" t="s">
        <v>318</v>
      </c>
      <c r="AA100" s="159" t="s">
        <v>318</v>
      </c>
    </row>
    <row r="101" spans="1:13" s="14" customFormat="1" ht="12.75">
      <c r="A101" s="141"/>
      <c r="B101" s="142"/>
      <c r="C101" s="143"/>
      <c r="D101" s="143"/>
      <c r="E101" s="143"/>
      <c r="F101" s="143"/>
      <c r="G101" s="143"/>
      <c r="H101" s="143"/>
      <c r="I101" s="143"/>
      <c r="J101" s="143"/>
      <c r="K101" s="143"/>
      <c r="L101" s="144"/>
      <c r="M101" s="145"/>
    </row>
  </sheetData>
  <sheetProtection password="EC17" sheet="1"/>
  <mergeCells count="15">
    <mergeCell ref="E6:G6"/>
    <mergeCell ref="A12:H12"/>
    <mergeCell ref="A14:C14"/>
    <mergeCell ref="D14:F14"/>
    <mergeCell ref="G14:G15"/>
    <mergeCell ref="A13:H13"/>
    <mergeCell ref="C1:G1"/>
    <mergeCell ref="C2:G2"/>
    <mergeCell ref="C3:G3"/>
    <mergeCell ref="C4:G4"/>
    <mergeCell ref="C59:H60"/>
    <mergeCell ref="H14:H15"/>
    <mergeCell ref="B56:D56"/>
    <mergeCell ref="E56:F56"/>
    <mergeCell ref="B6:D6"/>
  </mergeCells>
  <conditionalFormatting sqref="C16:C51">
    <cfRule type="expression" priority="1" dxfId="5" stopIfTrue="1">
      <formula>$B16=""</formula>
    </cfRule>
  </conditionalFormatting>
  <conditionalFormatting sqref="F16:F51">
    <cfRule type="expression" priority="2" dxfId="5" stopIfTrue="1">
      <formula>$E$5="-"</formula>
    </cfRule>
    <cfRule type="expression" priority="3" dxfId="5" stopIfTrue="1">
      <formula>$E$5=""</formula>
    </cfRule>
  </conditionalFormatting>
  <hyperlinks>
    <hyperlink ref="C59:H60" location="INICIO!B37" tooltip="VOLVER" display="VOLVER A HOJA PRINCIPAL"/>
  </hyperlinks>
  <printOptions horizontalCentered="1"/>
  <pageMargins left="0.7480314960629921" right="0.7480314960629921" top="0.3937007874015748" bottom="0.3937007874015748" header="0" footer="0"/>
  <pageSetup blackAndWhite="1" horizontalDpi="600" verticalDpi="600" orientation="landscape" paperSize="9" scale="65" r:id="rId3"/>
  <headerFooter alignWithMargins="0">
    <oddHeader>&amp;L&amp;F</oddHeader>
    <oddFooter>&amp;R&amp;P DE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Z144"/>
  <sheetViews>
    <sheetView zoomScale="70" zoomScaleNormal="70" zoomScaleSheetLayoutView="75" zoomScalePageLayoutView="0" workbookViewId="0" topLeftCell="A13">
      <selection activeCell="O13" sqref="O13:T26"/>
    </sheetView>
  </sheetViews>
  <sheetFormatPr defaultColWidth="11.421875" defaultRowHeight="12.75"/>
  <cols>
    <col min="1" max="3" width="13.7109375" style="47" customWidth="1"/>
    <col min="4" max="4" width="13.7109375" style="48" customWidth="1"/>
    <col min="5" max="5" width="13.7109375" style="50" customWidth="1"/>
    <col min="6" max="6" width="14.421875" style="50" customWidth="1"/>
    <col min="7" max="13" width="13.7109375" style="50" customWidth="1"/>
    <col min="14" max="14" width="13.7109375" style="47" customWidth="1"/>
    <col min="15" max="15" width="16.421875" style="47" customWidth="1"/>
    <col min="16" max="22" width="11.421875" style="47" customWidth="1"/>
    <col min="23" max="23" width="14.28125" style="47" customWidth="1"/>
    <col min="24" max="24" width="14.00390625" style="47" customWidth="1"/>
    <col min="25" max="25" width="14.57421875" style="47" customWidth="1"/>
    <col min="26" max="16384" width="11.421875" style="47" customWidth="1"/>
  </cols>
  <sheetData>
    <row r="1" spans="1:16" s="46" customFormat="1" ht="17.25" customHeight="1">
      <c r="A1" s="72"/>
      <c r="B1" s="72"/>
      <c r="C1" s="72"/>
      <c r="D1" s="72"/>
      <c r="E1" s="667" t="s">
        <v>292</v>
      </c>
      <c r="F1" s="667"/>
      <c r="G1" s="667"/>
      <c r="H1" s="667"/>
      <c r="I1" s="667"/>
      <c r="J1" s="72"/>
      <c r="K1" s="72"/>
      <c r="L1" s="72"/>
      <c r="M1" s="72"/>
      <c r="N1" s="72"/>
      <c r="O1" s="72"/>
      <c r="P1" s="15"/>
    </row>
    <row r="2" spans="1:16" s="46" customFormat="1" ht="9" customHeight="1">
      <c r="A2" s="72"/>
      <c r="B2" s="72"/>
      <c r="C2" s="72"/>
      <c r="D2" s="72"/>
      <c r="E2" s="668" t="s">
        <v>291</v>
      </c>
      <c r="F2" s="668"/>
      <c r="G2" s="668"/>
      <c r="H2" s="668"/>
      <c r="I2" s="668"/>
      <c r="J2" s="73"/>
      <c r="K2" s="72"/>
      <c r="L2" s="72"/>
      <c r="M2" s="72"/>
      <c r="N2" s="72"/>
      <c r="O2" s="72"/>
      <c r="P2" s="15"/>
    </row>
    <row r="3" spans="1:16" s="46" customFormat="1" ht="12.75" customHeight="1">
      <c r="A3" s="72"/>
      <c r="B3" s="72"/>
      <c r="C3" s="72"/>
      <c r="D3" s="72"/>
      <c r="E3" s="670" t="s">
        <v>193</v>
      </c>
      <c r="F3" s="670"/>
      <c r="G3" s="670"/>
      <c r="H3" s="670"/>
      <c r="I3" s="670"/>
      <c r="J3" s="73"/>
      <c r="K3" s="72"/>
      <c r="L3" s="72"/>
      <c r="M3" s="72"/>
      <c r="N3" s="72"/>
      <c r="O3" s="72"/>
      <c r="P3" s="15"/>
    </row>
    <row r="4" spans="1:16" s="46" customFormat="1" ht="18.75" customHeight="1">
      <c r="A4" s="72"/>
      <c r="B4" s="72"/>
      <c r="C4" s="72"/>
      <c r="D4" s="72"/>
      <c r="E4" s="671" t="s">
        <v>192</v>
      </c>
      <c r="F4" s="671"/>
      <c r="G4" s="671"/>
      <c r="H4" s="671"/>
      <c r="I4" s="671"/>
      <c r="J4" s="73"/>
      <c r="K4" s="72"/>
      <c r="L4" s="72"/>
      <c r="M4" s="72"/>
      <c r="N4" s="72"/>
      <c r="O4" s="72"/>
      <c r="P4" s="15"/>
    </row>
    <row r="5" spans="1:16" s="46" customFormat="1" ht="12.75" customHeight="1">
      <c r="A5" s="72"/>
      <c r="B5" s="72"/>
      <c r="C5" s="72"/>
      <c r="D5" s="72"/>
      <c r="E5" s="671"/>
      <c r="F5" s="671"/>
      <c r="G5" s="671"/>
      <c r="H5" s="671"/>
      <c r="I5" s="671"/>
      <c r="J5" s="72"/>
      <c r="K5" s="72"/>
      <c r="L5" s="72"/>
      <c r="M5" s="72"/>
      <c r="N5" s="72"/>
      <c r="O5" s="72"/>
      <c r="P5" s="15"/>
    </row>
    <row r="6" spans="1:16" s="46" customFormat="1" ht="13.5" customHeight="1">
      <c r="A6" s="72"/>
      <c r="B6" s="72"/>
      <c r="C6" s="72"/>
      <c r="D6" s="72"/>
      <c r="E6" s="74"/>
      <c r="F6" s="74"/>
      <c r="G6" s="74"/>
      <c r="H6" s="74"/>
      <c r="I6" s="72"/>
      <c r="J6" s="72"/>
      <c r="K6" s="72"/>
      <c r="L6" s="72"/>
      <c r="M6" s="72"/>
      <c r="N6" s="72"/>
      <c r="O6" s="72"/>
      <c r="P6" s="15"/>
    </row>
    <row r="7" spans="1:16" ht="12.75" customHeight="1">
      <c r="A7" s="73"/>
      <c r="B7" s="73"/>
      <c r="C7" s="75"/>
      <c r="D7" s="669" t="s">
        <v>306</v>
      </c>
      <c r="E7" s="669"/>
      <c r="F7" s="669"/>
      <c r="G7" s="669"/>
      <c r="H7" s="669"/>
      <c r="I7" s="669"/>
      <c r="J7" s="669"/>
      <c r="K7" s="75"/>
      <c r="L7" s="75"/>
      <c r="M7" s="75"/>
      <c r="N7" s="75"/>
      <c r="O7" s="75"/>
      <c r="P7" s="17"/>
    </row>
    <row r="8" spans="1:16" ht="12.75" customHeight="1">
      <c r="A8" s="76"/>
      <c r="B8" s="77"/>
      <c r="C8" s="77"/>
      <c r="D8" s="669"/>
      <c r="E8" s="669"/>
      <c r="F8" s="669"/>
      <c r="G8" s="669"/>
      <c r="H8" s="669"/>
      <c r="I8" s="669"/>
      <c r="J8" s="669"/>
      <c r="K8" s="72"/>
      <c r="L8" s="72"/>
      <c r="M8" s="72"/>
      <c r="N8" s="72"/>
      <c r="O8" s="75"/>
      <c r="P8" s="17"/>
    </row>
    <row r="9" spans="1:16" ht="12" customHeight="1">
      <c r="A9" s="75"/>
      <c r="B9" s="75"/>
      <c r="C9" s="75"/>
      <c r="D9" s="669"/>
      <c r="E9" s="669"/>
      <c r="F9" s="669"/>
      <c r="G9" s="669"/>
      <c r="H9" s="669"/>
      <c r="I9" s="669"/>
      <c r="J9" s="669"/>
      <c r="K9" s="73"/>
      <c r="L9" s="73"/>
      <c r="M9" s="73"/>
      <c r="N9" s="75"/>
      <c r="O9" s="75"/>
      <c r="P9" s="17"/>
    </row>
    <row r="10" spans="1:16" ht="13.5" customHeight="1">
      <c r="A10" s="75"/>
      <c r="B10" s="75"/>
      <c r="C10" s="75"/>
      <c r="D10" s="669"/>
      <c r="E10" s="669"/>
      <c r="F10" s="669"/>
      <c r="G10" s="669"/>
      <c r="H10" s="669"/>
      <c r="I10" s="669"/>
      <c r="J10" s="669"/>
      <c r="K10" s="73"/>
      <c r="L10" s="73"/>
      <c r="M10" s="73"/>
      <c r="N10" s="75"/>
      <c r="O10" s="75"/>
      <c r="P10" s="17"/>
    </row>
    <row r="11" spans="1:16" ht="12.75">
      <c r="A11" s="75"/>
      <c r="B11" s="75"/>
      <c r="C11" s="75"/>
      <c r="D11" s="78"/>
      <c r="E11" s="73"/>
      <c r="F11" s="73"/>
      <c r="G11" s="73"/>
      <c r="H11" s="73"/>
      <c r="I11" s="73"/>
      <c r="J11" s="73"/>
      <c r="K11" s="73"/>
      <c r="L11" s="73"/>
      <c r="M11" s="73"/>
      <c r="N11" s="75"/>
      <c r="O11" s="75"/>
      <c r="P11" s="17"/>
    </row>
    <row r="12" spans="1:16" ht="6" customHeight="1">
      <c r="A12" s="75"/>
      <c r="B12" s="75"/>
      <c r="C12" s="75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5"/>
      <c r="O12" s="75"/>
      <c r="P12" s="17"/>
    </row>
    <row r="13" spans="1:16" ht="36.75" customHeight="1">
      <c r="A13" s="75"/>
      <c r="B13" s="672" t="s">
        <v>135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72"/>
      <c r="N13" s="72"/>
      <c r="O13" s="75"/>
      <c r="P13" s="17"/>
    </row>
    <row r="14" spans="1:16" ht="15">
      <c r="A14" s="75"/>
      <c r="B14" s="666" t="s">
        <v>335</v>
      </c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72"/>
      <c r="N14" s="72"/>
      <c r="O14" s="75"/>
      <c r="P14" s="17"/>
    </row>
    <row r="15" spans="1:16" ht="15">
      <c r="A15" s="75"/>
      <c r="B15" s="209" t="s">
        <v>11</v>
      </c>
      <c r="C15" s="207" t="s">
        <v>13</v>
      </c>
      <c r="D15" s="207" t="s">
        <v>14</v>
      </c>
      <c r="E15" s="207" t="s">
        <v>15</v>
      </c>
      <c r="F15" s="207" t="s">
        <v>16</v>
      </c>
      <c r="G15" s="207" t="s">
        <v>17</v>
      </c>
      <c r="H15" s="207" t="s">
        <v>18</v>
      </c>
      <c r="I15" s="207" t="s">
        <v>19</v>
      </c>
      <c r="J15" s="207" t="s">
        <v>20</v>
      </c>
      <c r="K15" s="207" t="s">
        <v>21</v>
      </c>
      <c r="L15" s="207" t="s">
        <v>22</v>
      </c>
      <c r="M15" s="75"/>
      <c r="N15" s="75"/>
      <c r="O15" s="75"/>
      <c r="P15" s="17"/>
    </row>
    <row r="16" spans="1:16" ht="15">
      <c r="A16" s="75"/>
      <c r="B16" s="212">
        <f>FÓRMULAS!C8</f>
        <v>1</v>
      </c>
      <c r="C16" s="213">
        <f>FÓRMULAS!E8</f>
        <v>0.34</v>
      </c>
      <c r="D16" s="213">
        <f>FÓRMULAS!F8</f>
        <v>0.26</v>
      </c>
      <c r="E16" s="213">
        <f>FÓRMULAS!G8</f>
        <v>0.05</v>
      </c>
      <c r="F16" s="213">
        <f>FÓRMULAS!H8</f>
        <v>0.18</v>
      </c>
      <c r="G16" s="213">
        <f>FÓRMULAS!I8</f>
        <v>0.02</v>
      </c>
      <c r="H16" s="213">
        <f>FÓRMULAS!J8</f>
        <v>0</v>
      </c>
      <c r="I16" s="213">
        <f>FÓRMULAS!K8</f>
        <v>0</v>
      </c>
      <c r="J16" s="213">
        <f>FÓRMULAS!L8</f>
        <v>0</v>
      </c>
      <c r="K16" s="213">
        <f>FÓRMULAS!M8</f>
        <v>0</v>
      </c>
      <c r="L16" s="213">
        <f>FÓRMULAS!N8</f>
        <v>0.15</v>
      </c>
      <c r="M16" s="73"/>
      <c r="N16" s="75"/>
      <c r="O16" s="75"/>
      <c r="P16" s="17"/>
    </row>
    <row r="17" spans="1:16" ht="15">
      <c r="A17" s="75"/>
      <c r="B17" s="665" t="s">
        <v>336</v>
      </c>
      <c r="C17" s="665"/>
      <c r="D17" s="665"/>
      <c r="E17" s="665"/>
      <c r="F17" s="665"/>
      <c r="G17" s="665"/>
      <c r="H17" s="665"/>
      <c r="I17" s="665"/>
      <c r="J17" s="665"/>
      <c r="K17" s="665"/>
      <c r="L17" s="665"/>
      <c r="M17" s="72"/>
      <c r="N17" s="72"/>
      <c r="O17" s="75"/>
      <c r="P17" s="17"/>
    </row>
    <row r="18" spans="1:16" ht="15">
      <c r="A18" s="75"/>
      <c r="B18" s="209" t="s">
        <v>11</v>
      </c>
      <c r="C18" s="207" t="s">
        <v>13</v>
      </c>
      <c r="D18" s="207" t="s">
        <v>14</v>
      </c>
      <c r="E18" s="207" t="s">
        <v>15</v>
      </c>
      <c r="F18" s="207" t="s">
        <v>16</v>
      </c>
      <c r="G18" s="207" t="s">
        <v>17</v>
      </c>
      <c r="H18" s="207" t="s">
        <v>18</v>
      </c>
      <c r="I18" s="207" t="s">
        <v>19</v>
      </c>
      <c r="J18" s="207" t="s">
        <v>20</v>
      </c>
      <c r="K18" s="207" t="s">
        <v>21</v>
      </c>
      <c r="L18" s="207" t="s">
        <v>22</v>
      </c>
      <c r="M18" s="75"/>
      <c r="N18" s="75"/>
      <c r="O18" s="75"/>
      <c r="P18" s="17"/>
    </row>
    <row r="19" spans="1:16" ht="15">
      <c r="A19" s="75"/>
      <c r="B19" s="212">
        <f>FÓRMULAS!C9</f>
        <v>1</v>
      </c>
      <c r="C19" s="213" t="str">
        <f>FÓRMULAS!E9</f>
        <v>-</v>
      </c>
      <c r="D19" s="213" t="str">
        <f>FÓRMULAS!F9</f>
        <v>-</v>
      </c>
      <c r="E19" s="213" t="str">
        <f>FÓRMULAS!G9</f>
        <v>-</v>
      </c>
      <c r="F19" s="213" t="str">
        <f>FÓRMULAS!H9</f>
        <v>-</v>
      </c>
      <c r="G19" s="213" t="str">
        <f>FÓRMULAS!I9</f>
        <v>-</v>
      </c>
      <c r="H19" s="213" t="str">
        <f>FÓRMULAS!J9</f>
        <v>-</v>
      </c>
      <c r="I19" s="213" t="str">
        <f>FÓRMULAS!K9</f>
        <v>-</v>
      </c>
      <c r="J19" s="213" t="str">
        <f>FÓRMULAS!L9</f>
        <v>-</v>
      </c>
      <c r="K19" s="213" t="str">
        <f>FÓRMULAS!M9</f>
        <v>-</v>
      </c>
      <c r="L19" s="213" t="str">
        <f>FÓRMULAS!N9</f>
        <v>-</v>
      </c>
      <c r="M19" s="75"/>
      <c r="N19" s="75"/>
      <c r="O19" s="75"/>
      <c r="P19" s="17"/>
    </row>
    <row r="20" spans="1:16" ht="15">
      <c r="A20" s="75"/>
      <c r="B20" s="665" t="s">
        <v>337</v>
      </c>
      <c r="C20" s="665"/>
      <c r="D20" s="665"/>
      <c r="E20" s="665"/>
      <c r="F20" s="665"/>
      <c r="G20" s="665"/>
      <c r="H20" s="665"/>
      <c r="I20" s="665"/>
      <c r="J20" s="665"/>
      <c r="K20" s="665"/>
      <c r="L20" s="665"/>
      <c r="M20" s="72"/>
      <c r="N20" s="72"/>
      <c r="O20" s="75"/>
      <c r="P20" s="17"/>
    </row>
    <row r="21" spans="1:16" ht="15">
      <c r="A21" s="75"/>
      <c r="B21" s="210" t="s">
        <v>49</v>
      </c>
      <c r="C21" s="212">
        <f>AUXILIAR!B3</f>
        <v>1</v>
      </c>
      <c r="D21" s="208" t="s">
        <v>30</v>
      </c>
      <c r="E21" s="208" t="s">
        <v>31</v>
      </c>
      <c r="F21" s="208" t="s">
        <v>32</v>
      </c>
      <c r="G21" s="208" t="s">
        <v>33</v>
      </c>
      <c r="H21" s="208" t="s">
        <v>34</v>
      </c>
      <c r="I21" s="208" t="s">
        <v>35</v>
      </c>
      <c r="J21" s="208" t="s">
        <v>36</v>
      </c>
      <c r="K21" s="208" t="s">
        <v>37</v>
      </c>
      <c r="L21" s="208" t="s">
        <v>38</v>
      </c>
      <c r="M21" s="79"/>
      <c r="N21" s="79"/>
      <c r="O21" s="75"/>
      <c r="P21" s="17"/>
    </row>
    <row r="22" spans="1:16" ht="15">
      <c r="A22" s="75"/>
      <c r="B22" s="210" t="s">
        <v>50</v>
      </c>
      <c r="C22" s="212">
        <f>AUXILIAR!C3</f>
        <v>2009</v>
      </c>
      <c r="D22" s="213">
        <f>INDEX(INDICES!$A$11:$K$178,AUXILIAR!$D$3,3)</f>
        <v>361.6</v>
      </c>
      <c r="E22" s="213">
        <f>INDEX(INDICES!$A$11:$K$178,AUXILIAR!$D$3,4)</f>
        <v>1712.1</v>
      </c>
      <c r="F22" s="213">
        <f>INDEX(INDICES!$A$11:$K$178,AUXILIAR!$D$3,5)</f>
        <v>1462.9</v>
      </c>
      <c r="G22" s="213">
        <f>INDEX(INDICES!$A$11:$K$178,AUXILIAR!$D$3,6)</f>
        <v>1735.4</v>
      </c>
      <c r="H22" s="213">
        <f>INDEX(INDICES!$A$11:$K$178,AUXILIAR!$D$3,7)</f>
        <v>1102.9</v>
      </c>
      <c r="I22" s="213">
        <f>INDEX(INDICES!$A$11:$K$178,AUXILIAR!$D$3,8)</f>
        <v>2179.8</v>
      </c>
      <c r="J22" s="213">
        <f>INDEX(INDICES!$A$11:$K$178,AUXILIAR!$D$3,9)</f>
        <v>859.1</v>
      </c>
      <c r="K22" s="213">
        <f>INDEX(INDICES!$A$11:$K$178,AUXILIAR!$D$3,10)</f>
        <v>628.7</v>
      </c>
      <c r="L22" s="213">
        <f>INDEX(INDICES!$A$11:$K$178,AUXILIAR!$D$3,11)</f>
        <v>2018.3</v>
      </c>
      <c r="M22" s="75"/>
      <c r="N22" s="75"/>
      <c r="O22" s="75"/>
      <c r="P22" s="17"/>
    </row>
    <row r="23" spans="1:16" ht="12.75">
      <c r="A23" s="75"/>
      <c r="B23" s="80"/>
      <c r="C23" s="206"/>
      <c r="D23" s="81"/>
      <c r="E23" s="81"/>
      <c r="F23" s="81"/>
      <c r="G23" s="81"/>
      <c r="H23" s="81"/>
      <c r="I23" s="81"/>
      <c r="J23" s="81"/>
      <c r="K23" s="81"/>
      <c r="L23" s="81"/>
      <c r="M23" s="79"/>
      <c r="N23" s="75"/>
      <c r="O23" s="75"/>
      <c r="P23" s="17"/>
    </row>
    <row r="24" spans="1:16" ht="4.5" customHeight="1">
      <c r="A24" s="75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5"/>
      <c r="O24" s="75"/>
      <c r="P24" s="17"/>
    </row>
    <row r="25" spans="1:16" ht="46.5" customHeight="1">
      <c r="A25" s="75"/>
      <c r="B25" s="214" t="str">
        <f>CONCATENATE("COEFICIENTES KT CORRESPONDIENTES A LAS CERTIFICACIONES REVISABLES CON LA FÓRMULA TIPO Nº ",B16)</f>
        <v>COEFICIENTES KT CORRESPONDIENTES A LAS CERTIFICACIONES REVISABLES CON LA FÓRMULA TIPO Nº 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5"/>
      <c r="O25" s="75"/>
      <c r="P25" s="17"/>
    </row>
    <row r="26" spans="1:16" ht="12.75">
      <c r="A26" s="215" t="s">
        <v>301</v>
      </c>
      <c r="B26" s="216" t="s">
        <v>51</v>
      </c>
      <c r="C26" s="217" t="s">
        <v>39</v>
      </c>
      <c r="D26" s="217" t="s">
        <v>40</v>
      </c>
      <c r="E26" s="217" t="s">
        <v>41</v>
      </c>
      <c r="F26" s="217" t="s">
        <v>42</v>
      </c>
      <c r="G26" s="217" t="s">
        <v>43</v>
      </c>
      <c r="H26" s="217" t="s">
        <v>44</v>
      </c>
      <c r="I26" s="217" t="s">
        <v>45</v>
      </c>
      <c r="J26" s="217" t="s">
        <v>46</v>
      </c>
      <c r="K26" s="217" t="s">
        <v>47</v>
      </c>
      <c r="L26" s="216" t="s">
        <v>48</v>
      </c>
      <c r="M26" s="216" t="s">
        <v>49</v>
      </c>
      <c r="N26" s="75"/>
      <c r="O26" s="75"/>
      <c r="P26" s="17"/>
    </row>
    <row r="27" spans="1:16" ht="12.75">
      <c r="A27" s="218">
        <v>1</v>
      </c>
      <c r="B27" s="218">
        <f>AUXILIAR!G48</f>
        <v>1</v>
      </c>
      <c r="C27" s="219">
        <f>IF($B27&gt;AUXILIAR!$G$50,0,INDEX(INDICES!$C$11:$K$178,GAR2!$B27,1))</f>
        <v>267.1</v>
      </c>
      <c r="D27" s="219">
        <f>IF($B27&gt;AUXILIAR!$G$50,0,INDEX(INDICES!$C$11:$K$178,GAR2!$B27,2))</f>
        <v>1216.7</v>
      </c>
      <c r="E27" s="219">
        <f>IF($B27&gt;AUXILIAR!$G$50,0,INDEX(INDICES!$C$11:$K$178,GAR2!$B27,3))</f>
        <v>965.9</v>
      </c>
      <c r="F27" s="219">
        <f>IF($B27&gt;AUXILIAR!$G$50,0,INDEX(INDICES!$C$11:$K$178,GAR2!$B27,4))</f>
        <v>1359</v>
      </c>
      <c r="G27" s="219">
        <f>IF($B27&gt;AUXILIAR!$G$50,0,INDEX(INDICES!$C$11:$K$178,GAR2!$B27,5))</f>
        <v>690.5</v>
      </c>
      <c r="H27" s="219">
        <f>IF($B27&gt;AUXILIAR!$G$50,0,INDEX(INDICES!$C$11:$K$178,GAR2!$B27,6))</f>
        <v>1519</v>
      </c>
      <c r="I27" s="219">
        <f>IF($B27&gt;AUXILIAR!$G$50,0,INDEX(INDICES!$C$11:$K$178,GAR2!$B27,7))</f>
        <v>695.5</v>
      </c>
      <c r="J27" s="219">
        <f>IF($B27&gt;AUXILIAR!$G$50,0,INDEX(INDICES!$C$11:$K$178,GAR2!$B27,8))</f>
        <v>642.1</v>
      </c>
      <c r="K27" s="219">
        <f>IF($B27&gt;AUXILIAR!$G$50,0,INDEX(INDICES!$C$11:$K$178,GAR2!$B27,9))</f>
        <v>1030.6</v>
      </c>
      <c r="L27" s="220">
        <f>IF(B27&gt;AUXILIAR!$G$50,"",$C$16*C27/$D$22+$D$16*H27/$I$22+$E$16*D27/$E$22+$F$16*G27/$H$22+$G$16*K27/$L$22+$H$16*E27/$F$22+$I$16*F27/$G$22+$J$16*J27/$K$22+$K$16*I27/$J$22+$L$16)</f>
        <v>0.7407654207819377</v>
      </c>
      <c r="M27" s="221">
        <f>INDEX(AUXILIAR!I2:I210,GAR2!$B$27)</f>
        <v>35065</v>
      </c>
      <c r="N27" s="75"/>
      <c r="O27" s="75"/>
      <c r="P27" s="17"/>
    </row>
    <row r="28" spans="1:16" ht="12.75">
      <c r="A28" s="218">
        <f aca="true" t="shared" si="0" ref="A28:A59">1+A27</f>
        <v>2</v>
      </c>
      <c r="B28" s="218">
        <f aca="true" t="shared" si="1" ref="B28:B59">B27+1</f>
        <v>2</v>
      </c>
      <c r="C28" s="219">
        <f>IF($B28&gt;AUXILIAR!$G$50,0,INDEX(INDICES!$C$11:$K$178,GAR2!$B28,1))</f>
        <v>0</v>
      </c>
      <c r="D28" s="219">
        <f>IF($B28&gt;AUXILIAR!$G$50,0,INDEX(INDICES!$C$11:$K$178,GAR2!$B28,2))</f>
        <v>0</v>
      </c>
      <c r="E28" s="219">
        <f>IF($B28&gt;AUXILIAR!$G$50,0,INDEX(INDICES!$C$11:$K$178,GAR2!$B28,3))</f>
        <v>0</v>
      </c>
      <c r="F28" s="219">
        <f>IF($B28&gt;AUXILIAR!$G$50,0,INDEX(INDICES!$C$11:$K$178,GAR2!$B28,4))</f>
        <v>0</v>
      </c>
      <c r="G28" s="219">
        <f>IF($B28&gt;AUXILIAR!$G$50,0,INDEX(INDICES!$C$11:$K$178,GAR2!$B28,5))</f>
        <v>0</v>
      </c>
      <c r="H28" s="219">
        <f>IF($B28&gt;AUXILIAR!$G$50,0,INDEX(INDICES!$C$11:$K$178,GAR2!$B28,6))</f>
        <v>0</v>
      </c>
      <c r="I28" s="219">
        <f>IF($B28&gt;AUXILIAR!$G$50,0,INDEX(INDICES!$C$11:$K$178,GAR2!$B28,7))</f>
        <v>0</v>
      </c>
      <c r="J28" s="219">
        <f>IF($B28&gt;AUXILIAR!$G$50,0,INDEX(INDICES!$C$11:$K$178,GAR2!$B28,8))</f>
        <v>0</v>
      </c>
      <c r="K28" s="219">
        <f>IF($B28&gt;AUXILIAR!$G$50,0,INDEX(INDICES!$C$11:$K$178,GAR2!$B28,9))</f>
        <v>0</v>
      </c>
      <c r="L28" s="220">
        <f>IF(B28&gt;AUXILIAR!$G$50,"",$C$16*C28/$D$22+$D$16*H28/$I$22+$E$16*D28/$E$22+$F$16*G28/$H$22+$G$16*K28/$L$22+$H$16*E28/$F$22+$I$16*F28/$G$22+$J$16*J28/$K$22+$K$16*I28/$J$22+$L$16)</f>
      </c>
      <c r="M28" s="221">
        <f>INDEX(AUXILIAR!I3:I211,GAR2!$B$27)</f>
        <v>35096</v>
      </c>
      <c r="N28" s="75"/>
      <c r="O28" s="75"/>
      <c r="P28" s="17"/>
    </row>
    <row r="29" spans="1:16" ht="12.75">
      <c r="A29" s="218">
        <f t="shared" si="0"/>
        <v>3</v>
      </c>
      <c r="B29" s="218">
        <f t="shared" si="1"/>
        <v>3</v>
      </c>
      <c r="C29" s="219">
        <f>IF($B29&gt;AUXILIAR!$G$50,0,INDEX(INDICES!$C$11:$K$178,GAR2!$B29,1))</f>
        <v>0</v>
      </c>
      <c r="D29" s="219">
        <f>IF($B29&gt;AUXILIAR!$G$50,0,INDEX(INDICES!$C$11:$K$178,GAR2!$B29,2))</f>
        <v>0</v>
      </c>
      <c r="E29" s="219">
        <f>IF($B29&gt;AUXILIAR!$G$50,0,INDEX(INDICES!$C$11:$K$178,GAR2!$B29,3))</f>
        <v>0</v>
      </c>
      <c r="F29" s="219">
        <f>IF($B29&gt;AUXILIAR!$G$50,0,INDEX(INDICES!$C$11:$K$178,GAR2!$B29,4))</f>
        <v>0</v>
      </c>
      <c r="G29" s="219">
        <f>IF($B29&gt;AUXILIAR!$G$50,0,INDEX(INDICES!$C$11:$K$178,GAR2!$B29,5))</f>
        <v>0</v>
      </c>
      <c r="H29" s="219">
        <f>IF($B29&gt;AUXILIAR!$G$50,0,INDEX(INDICES!$C$11:$K$178,GAR2!$B29,6))</f>
        <v>0</v>
      </c>
      <c r="I29" s="219">
        <f>IF($B29&gt;AUXILIAR!$G$50,0,INDEX(INDICES!$C$11:$K$178,GAR2!$B29,7))</f>
        <v>0</v>
      </c>
      <c r="J29" s="219">
        <f>IF($B29&gt;AUXILIAR!$G$50,0,INDEX(INDICES!$C$11:$K$178,GAR2!$B29,8))</f>
        <v>0</v>
      </c>
      <c r="K29" s="219">
        <f>IF($B29&gt;AUXILIAR!$G$50,0,INDEX(INDICES!$C$11:$K$178,GAR2!$B29,9))</f>
        <v>0</v>
      </c>
      <c r="L29" s="220">
        <f>IF(B29&gt;AUXILIAR!$G$50,"",$C$16*C29/$D$22+$D$16*H29/$I$22+$E$16*D29/$E$22+$F$16*G29/$H$22+$G$16*K29/$L$22+$H$16*E29/$F$22+$I$16*F29/$G$22+$J$16*J29/$K$22+$K$16*I29/$J$22+$L$16)</f>
      </c>
      <c r="M29" s="221">
        <f>INDEX(AUXILIAR!I4:I212,GAR2!$B$27)</f>
        <v>35125</v>
      </c>
      <c r="N29" s="75"/>
      <c r="O29" s="75"/>
      <c r="P29" s="17"/>
    </row>
    <row r="30" spans="1:16" ht="12.75">
      <c r="A30" s="218">
        <f t="shared" si="0"/>
        <v>4</v>
      </c>
      <c r="B30" s="218">
        <f t="shared" si="1"/>
        <v>4</v>
      </c>
      <c r="C30" s="219">
        <f>IF($B30&gt;AUXILIAR!$G$50,0,INDEX(INDICES!$C$11:$K$178,GAR2!$B30,1))</f>
        <v>0</v>
      </c>
      <c r="D30" s="219">
        <f>IF($B30&gt;AUXILIAR!$G$50,0,INDEX(INDICES!$C$11:$K$178,GAR2!$B30,2))</f>
        <v>0</v>
      </c>
      <c r="E30" s="219">
        <f>IF($B30&gt;AUXILIAR!$G$50,0,INDEX(INDICES!$C$11:$K$178,GAR2!$B30,3))</f>
        <v>0</v>
      </c>
      <c r="F30" s="219">
        <f>IF($B30&gt;AUXILIAR!$G$50,0,INDEX(INDICES!$C$11:$K$178,GAR2!$B30,4))</f>
        <v>0</v>
      </c>
      <c r="G30" s="219">
        <f>IF($B30&gt;AUXILIAR!$G$50,0,INDEX(INDICES!$C$11:$K$178,GAR2!$B30,5))</f>
        <v>0</v>
      </c>
      <c r="H30" s="219">
        <f>IF($B30&gt;AUXILIAR!$G$50,0,INDEX(INDICES!$C$11:$K$178,GAR2!$B30,6))</f>
        <v>0</v>
      </c>
      <c r="I30" s="219">
        <f>IF($B30&gt;AUXILIAR!$G$50,0,INDEX(INDICES!$C$11:$K$178,GAR2!$B30,7))</f>
        <v>0</v>
      </c>
      <c r="J30" s="219">
        <f>IF($B30&gt;AUXILIAR!$G$50,0,INDEX(INDICES!$C$11:$K$178,GAR2!$B30,8))</f>
        <v>0</v>
      </c>
      <c r="K30" s="219">
        <f>IF($B30&gt;AUXILIAR!$G$50,0,INDEX(INDICES!$C$11:$K$178,GAR2!$B30,9))</f>
        <v>0</v>
      </c>
      <c r="L30" s="220">
        <f>IF(B30&gt;AUXILIAR!$G$50,"",$C$16*C30/$D$22+$D$16*H30/$I$22+$E$16*D30/$E$22+$F$16*G30/$H$22+$G$16*K30/$L$22+$H$16*E30/$F$22+$I$16*F30/$G$22+$J$16*J30/$K$22+$K$16*I30/$J$22+$L$16)</f>
      </c>
      <c r="M30" s="221">
        <f>INDEX(AUXILIAR!I5:I213,GAR2!$B$27)</f>
        <v>35156</v>
      </c>
      <c r="N30" s="75"/>
      <c r="O30" s="75"/>
      <c r="P30" s="17"/>
    </row>
    <row r="31" spans="1:16" ht="12.75">
      <c r="A31" s="218">
        <f t="shared" si="0"/>
        <v>5</v>
      </c>
      <c r="B31" s="218">
        <f t="shared" si="1"/>
        <v>5</v>
      </c>
      <c r="C31" s="219">
        <f>IF($B31&gt;AUXILIAR!$G$50,0,INDEX(INDICES!$C$11:$K$178,GAR2!$B31,1))</f>
        <v>0</v>
      </c>
      <c r="D31" s="219">
        <f>IF($B31&gt;AUXILIAR!$G$50,0,INDEX(INDICES!$C$11:$K$178,GAR2!$B31,2))</f>
        <v>0</v>
      </c>
      <c r="E31" s="219">
        <f>IF($B31&gt;AUXILIAR!$G$50,0,INDEX(INDICES!$C$11:$K$178,GAR2!$B31,3))</f>
        <v>0</v>
      </c>
      <c r="F31" s="219">
        <f>IF($B31&gt;AUXILIAR!$G$50,0,INDEX(INDICES!$C$11:$K$178,GAR2!$B31,4))</f>
        <v>0</v>
      </c>
      <c r="G31" s="219">
        <f>IF($B31&gt;AUXILIAR!$G$50,0,INDEX(INDICES!$C$11:$K$178,GAR2!$B31,5))</f>
        <v>0</v>
      </c>
      <c r="H31" s="219">
        <f>IF($B31&gt;AUXILIAR!$G$50,0,INDEX(INDICES!$C$11:$K$178,GAR2!$B31,6))</f>
        <v>0</v>
      </c>
      <c r="I31" s="219">
        <f>IF($B31&gt;AUXILIAR!$G$50,0,INDEX(INDICES!$C$11:$K$178,GAR2!$B31,7))</f>
        <v>0</v>
      </c>
      <c r="J31" s="219">
        <f>IF($B31&gt;AUXILIAR!$G$50,0,INDEX(INDICES!$C$11:$K$178,GAR2!$B31,8))</f>
        <v>0</v>
      </c>
      <c r="K31" s="219">
        <f>IF($B31&gt;AUXILIAR!$G$50,0,INDEX(INDICES!$C$11:$K$178,GAR2!$B31,9))</f>
        <v>0</v>
      </c>
      <c r="L31" s="220">
        <f>IF(B31&gt;AUXILIAR!$G$50,"",$C$16*C31/$D$22+$D$16*H31/$I$22+$E$16*D31/$E$22+$F$16*G31/$H$22+$G$16*K31/$L$22+$H$16*E31/$F$22+$I$16*F31/$G$22+$J$16*J31/$K$22+$K$16*I31/$J$22+$L$16)</f>
      </c>
      <c r="M31" s="221">
        <f>INDEX(AUXILIAR!I6:I214,GAR2!$B$27)</f>
        <v>35186</v>
      </c>
      <c r="N31" s="75"/>
      <c r="O31" s="75"/>
      <c r="P31" s="17"/>
    </row>
    <row r="32" spans="1:16" ht="12.75">
      <c r="A32" s="218">
        <f t="shared" si="0"/>
        <v>6</v>
      </c>
      <c r="B32" s="218">
        <f t="shared" si="1"/>
        <v>6</v>
      </c>
      <c r="C32" s="219">
        <f>IF($B32&gt;AUXILIAR!$G$50,0,INDEX(INDICES!$C$11:$K$178,GAR2!$B32,1))</f>
        <v>0</v>
      </c>
      <c r="D32" s="219">
        <f>IF($B32&gt;AUXILIAR!$G$50,0,INDEX(INDICES!$C$11:$K$178,GAR2!$B32,2))</f>
        <v>0</v>
      </c>
      <c r="E32" s="219">
        <f>IF($B32&gt;AUXILIAR!$G$50,0,INDEX(INDICES!$C$11:$K$178,GAR2!$B32,3))</f>
        <v>0</v>
      </c>
      <c r="F32" s="219">
        <f>IF($B32&gt;AUXILIAR!$G$50,0,INDEX(INDICES!$C$11:$K$178,GAR2!$B32,4))</f>
        <v>0</v>
      </c>
      <c r="G32" s="219">
        <f>IF($B32&gt;AUXILIAR!$G$50,0,INDEX(INDICES!$C$11:$K$178,GAR2!$B32,5))</f>
        <v>0</v>
      </c>
      <c r="H32" s="219">
        <f>IF($B32&gt;AUXILIAR!$G$50,0,INDEX(INDICES!$C$11:$K$178,GAR2!$B32,6))</f>
        <v>0</v>
      </c>
      <c r="I32" s="219">
        <f>IF($B32&gt;AUXILIAR!$G$50,0,INDEX(INDICES!$C$11:$K$178,GAR2!$B32,7))</f>
        <v>0</v>
      </c>
      <c r="J32" s="219">
        <f>IF($B32&gt;AUXILIAR!$G$50,0,INDEX(INDICES!$C$11:$K$178,GAR2!$B32,8))</f>
        <v>0</v>
      </c>
      <c r="K32" s="219">
        <f>IF($B32&gt;AUXILIAR!$G$50,0,INDEX(INDICES!$C$11:$K$178,GAR2!$B32,9))</f>
        <v>0</v>
      </c>
      <c r="L32" s="220">
        <f>IF(B32&gt;AUXILIAR!$G$50,"",$C$16*C32/$D$22+$D$16*H32/$I$22+$E$16*D32/$E$22+$F$16*G32/$H$22+$G$16*K32/$L$22+$H$16*E32/$F$22+$I$16*F32/$G$22+$J$16*J32/$K$22+$K$16*I32/$J$22+$L$16)</f>
      </c>
      <c r="M32" s="221">
        <f>INDEX(AUXILIAR!I7:I215,GAR2!$B$27)</f>
        <v>35217</v>
      </c>
      <c r="N32" s="75"/>
      <c r="O32" s="75"/>
      <c r="P32" s="17"/>
    </row>
    <row r="33" spans="1:16" ht="12.75">
      <c r="A33" s="218">
        <f t="shared" si="0"/>
        <v>7</v>
      </c>
      <c r="B33" s="218">
        <f t="shared" si="1"/>
        <v>7</v>
      </c>
      <c r="C33" s="219">
        <f>IF($B33&gt;AUXILIAR!$G$50,0,INDEX(INDICES!$C$11:$K$178,GAR2!$B33,1))</f>
        <v>0</v>
      </c>
      <c r="D33" s="219">
        <f>IF($B33&gt;AUXILIAR!$G$50,0,INDEX(INDICES!$C$11:$K$178,GAR2!$B33,2))</f>
        <v>0</v>
      </c>
      <c r="E33" s="219">
        <f>IF($B33&gt;AUXILIAR!$G$50,0,INDEX(INDICES!$C$11:$K$178,GAR2!$B33,3))</f>
        <v>0</v>
      </c>
      <c r="F33" s="219">
        <f>IF($B33&gt;AUXILIAR!$G$50,0,INDEX(INDICES!$C$11:$K$178,GAR2!$B33,4))</f>
        <v>0</v>
      </c>
      <c r="G33" s="219">
        <f>IF($B33&gt;AUXILIAR!$G$50,0,INDEX(INDICES!$C$11:$K$178,GAR2!$B33,5))</f>
        <v>0</v>
      </c>
      <c r="H33" s="219">
        <f>IF($B33&gt;AUXILIAR!$G$50,0,INDEX(INDICES!$C$11:$K$178,GAR2!$B33,6))</f>
        <v>0</v>
      </c>
      <c r="I33" s="219">
        <f>IF($B33&gt;AUXILIAR!$G$50,0,INDEX(INDICES!$C$11:$K$178,GAR2!$B33,7))</f>
        <v>0</v>
      </c>
      <c r="J33" s="219">
        <f>IF($B33&gt;AUXILIAR!$G$50,0,INDEX(INDICES!$C$11:$K$178,GAR2!$B33,8))</f>
        <v>0</v>
      </c>
      <c r="K33" s="219">
        <f>IF($B33&gt;AUXILIAR!$G$50,0,INDEX(INDICES!$C$11:$K$178,GAR2!$B33,9))</f>
        <v>0</v>
      </c>
      <c r="L33" s="220">
        <f>IF(B33&gt;AUXILIAR!$G$50,"",$C$16*C33/$D$22+$D$16*H33/$I$22+$E$16*D33/$E$22+$F$16*G33/$H$22+$G$16*K33/$L$22+$H$16*E33/$F$22+$I$16*F33/$G$22+$J$16*J33/$K$22+$K$16*I33/$J$22+$L$16)</f>
      </c>
      <c r="M33" s="221">
        <f>INDEX(AUXILIAR!I8:I216,GAR2!$B$27)</f>
        <v>35247</v>
      </c>
      <c r="N33" s="75"/>
      <c r="O33" s="75"/>
      <c r="P33" s="17"/>
    </row>
    <row r="34" spans="1:16" ht="12.75">
      <c r="A34" s="218">
        <f t="shared" si="0"/>
        <v>8</v>
      </c>
      <c r="B34" s="218">
        <f t="shared" si="1"/>
        <v>8</v>
      </c>
      <c r="C34" s="219">
        <f>IF($B34&gt;AUXILIAR!$G$50,0,INDEX(INDICES!$C$11:$K$178,GAR2!$B34,1))</f>
        <v>0</v>
      </c>
      <c r="D34" s="219">
        <f>IF($B34&gt;AUXILIAR!$G$50,0,INDEX(INDICES!$C$11:$K$178,GAR2!$B34,2))</f>
        <v>0</v>
      </c>
      <c r="E34" s="219">
        <f>IF($B34&gt;AUXILIAR!$G$50,0,INDEX(INDICES!$C$11:$K$178,GAR2!$B34,3))</f>
        <v>0</v>
      </c>
      <c r="F34" s="219">
        <f>IF($B34&gt;AUXILIAR!$G$50,0,INDEX(INDICES!$C$11:$K$178,GAR2!$B34,4))</f>
        <v>0</v>
      </c>
      <c r="G34" s="219">
        <f>IF($B34&gt;AUXILIAR!$G$50,0,INDEX(INDICES!$C$11:$K$178,GAR2!$B34,5))</f>
        <v>0</v>
      </c>
      <c r="H34" s="219">
        <f>IF($B34&gt;AUXILIAR!$G$50,0,INDEX(INDICES!$C$11:$K$178,GAR2!$B34,6))</f>
        <v>0</v>
      </c>
      <c r="I34" s="219">
        <f>IF($B34&gt;AUXILIAR!$G$50,0,INDEX(INDICES!$C$11:$K$178,GAR2!$B34,7))</f>
        <v>0</v>
      </c>
      <c r="J34" s="219">
        <f>IF($B34&gt;AUXILIAR!$G$50,0,INDEX(INDICES!$C$11:$K$178,GAR2!$B34,8))</f>
        <v>0</v>
      </c>
      <c r="K34" s="219">
        <f>IF($B34&gt;AUXILIAR!$G$50,0,INDEX(INDICES!$C$11:$K$178,GAR2!$B34,9))</f>
        <v>0</v>
      </c>
      <c r="L34" s="220">
        <f>IF(B34&gt;AUXILIAR!$G$50,"",$C$16*C34/$D$22+$D$16*H34/$I$22+$E$16*D34/$E$22+$F$16*G34/$H$22+$G$16*K34/$L$22+$H$16*E34/$F$22+$I$16*F34/$G$22+$J$16*J34/$K$22+$K$16*I34/$J$22+$L$16)</f>
      </c>
      <c r="M34" s="221">
        <f>INDEX(AUXILIAR!I9:I217,GAR2!$B$27)</f>
        <v>35278</v>
      </c>
      <c r="N34" s="75"/>
      <c r="O34" s="75"/>
      <c r="P34" s="17"/>
    </row>
    <row r="35" spans="1:16" ht="12.75">
      <c r="A35" s="218">
        <f t="shared" si="0"/>
        <v>9</v>
      </c>
      <c r="B35" s="218">
        <f t="shared" si="1"/>
        <v>9</v>
      </c>
      <c r="C35" s="219">
        <f>IF($B35&gt;AUXILIAR!$G$50,0,INDEX(INDICES!$C$11:$K$178,GAR2!$B35,1))</f>
        <v>0</v>
      </c>
      <c r="D35" s="219">
        <f>IF($B35&gt;AUXILIAR!$G$50,0,INDEX(INDICES!$C$11:$K$178,GAR2!$B35,2))</f>
        <v>0</v>
      </c>
      <c r="E35" s="219">
        <f>IF($B35&gt;AUXILIAR!$G$50,0,INDEX(INDICES!$C$11:$K$178,GAR2!$B35,3))</f>
        <v>0</v>
      </c>
      <c r="F35" s="219">
        <f>IF($B35&gt;AUXILIAR!$G$50,0,INDEX(INDICES!$C$11:$K$178,GAR2!$B35,4))</f>
        <v>0</v>
      </c>
      <c r="G35" s="219">
        <f>IF($B35&gt;AUXILIAR!$G$50,0,INDEX(INDICES!$C$11:$K$178,GAR2!$B35,5))</f>
        <v>0</v>
      </c>
      <c r="H35" s="219">
        <f>IF($B35&gt;AUXILIAR!$G$50,0,INDEX(INDICES!$C$11:$K$178,GAR2!$B35,6))</f>
        <v>0</v>
      </c>
      <c r="I35" s="219">
        <f>IF($B35&gt;AUXILIAR!$G$50,0,INDEX(INDICES!$C$11:$K$178,GAR2!$B35,7))</f>
        <v>0</v>
      </c>
      <c r="J35" s="219">
        <f>IF($B35&gt;AUXILIAR!$G$50,0,INDEX(INDICES!$C$11:$K$178,GAR2!$B35,8))</f>
        <v>0</v>
      </c>
      <c r="K35" s="219">
        <f>IF($B35&gt;AUXILIAR!$G$50,0,INDEX(INDICES!$C$11:$K$178,GAR2!$B35,9))</f>
        <v>0</v>
      </c>
      <c r="L35" s="220">
        <f>IF(B35&gt;AUXILIAR!$G$50,"",$C$16*C35/$D$22+$D$16*H35/$I$22+$E$16*D35/$E$22+$F$16*G35/$H$22+$G$16*K35/$L$22+$H$16*E35/$F$22+$I$16*F35/$G$22+$J$16*J35/$K$22+$K$16*I35/$J$22+$L$16)</f>
      </c>
      <c r="M35" s="221">
        <f>INDEX(AUXILIAR!I10:I218,GAR2!$B$27)</f>
        <v>35309</v>
      </c>
      <c r="N35" s="75"/>
      <c r="O35" s="75"/>
      <c r="P35" s="17"/>
    </row>
    <row r="36" spans="1:16" ht="12.75">
      <c r="A36" s="218">
        <f t="shared" si="0"/>
        <v>10</v>
      </c>
      <c r="B36" s="218">
        <f t="shared" si="1"/>
        <v>10</v>
      </c>
      <c r="C36" s="219">
        <f>IF($B36&gt;AUXILIAR!$G$50,0,INDEX(INDICES!$C$11:$K$178,GAR2!$B36,1))</f>
        <v>0</v>
      </c>
      <c r="D36" s="219">
        <f>IF($B36&gt;AUXILIAR!$G$50,0,INDEX(INDICES!$C$11:$K$178,GAR2!$B36,2))</f>
        <v>0</v>
      </c>
      <c r="E36" s="219">
        <f>IF($B36&gt;AUXILIAR!$G$50,0,INDEX(INDICES!$C$11:$K$178,GAR2!$B36,3))</f>
        <v>0</v>
      </c>
      <c r="F36" s="219">
        <f>IF($B36&gt;AUXILIAR!$G$50,0,INDEX(INDICES!$C$11:$K$178,GAR2!$B36,4))</f>
        <v>0</v>
      </c>
      <c r="G36" s="219">
        <f>IF($B36&gt;AUXILIAR!$G$50,0,INDEX(INDICES!$C$11:$K$178,GAR2!$B36,5))</f>
        <v>0</v>
      </c>
      <c r="H36" s="219">
        <f>IF($B36&gt;AUXILIAR!$G$50,0,INDEX(INDICES!$C$11:$K$178,GAR2!$B36,6))</f>
        <v>0</v>
      </c>
      <c r="I36" s="219">
        <f>IF($B36&gt;AUXILIAR!$G$50,0,INDEX(INDICES!$C$11:$K$178,GAR2!$B36,7))</f>
        <v>0</v>
      </c>
      <c r="J36" s="219">
        <f>IF($B36&gt;AUXILIAR!$G$50,0,INDEX(INDICES!$C$11:$K$178,GAR2!$B36,8))</f>
        <v>0</v>
      </c>
      <c r="K36" s="219">
        <f>IF($B36&gt;AUXILIAR!$G$50,0,INDEX(INDICES!$C$11:$K$178,GAR2!$B36,9))</f>
        <v>0</v>
      </c>
      <c r="L36" s="220">
        <f>IF(B36&gt;AUXILIAR!$G$50,"",$C$16*C36/$D$22+$D$16*H36/$I$22+$E$16*D36/$E$22+$F$16*G36/$H$22+$G$16*K36/$L$22+$H$16*E36/$F$22+$I$16*F36/$G$22+$J$16*J36/$K$22+$K$16*I36/$J$22+$L$16)</f>
      </c>
      <c r="M36" s="221">
        <f>INDEX(AUXILIAR!I11:I219,GAR2!$B$27)</f>
        <v>35339</v>
      </c>
      <c r="N36" s="75"/>
      <c r="O36" s="75"/>
      <c r="P36" s="17"/>
    </row>
    <row r="37" spans="1:16" ht="12.75">
      <c r="A37" s="218">
        <f t="shared" si="0"/>
        <v>11</v>
      </c>
      <c r="B37" s="218">
        <f t="shared" si="1"/>
        <v>11</v>
      </c>
      <c r="C37" s="219">
        <f>IF($B37&gt;AUXILIAR!$G$50,0,INDEX(INDICES!$C$11:$K$178,GAR2!$B37,1))</f>
        <v>0</v>
      </c>
      <c r="D37" s="219">
        <f>IF($B37&gt;AUXILIAR!$G$50,0,INDEX(INDICES!$C$11:$K$178,GAR2!$B37,2))</f>
        <v>0</v>
      </c>
      <c r="E37" s="219">
        <f>IF($B37&gt;AUXILIAR!$G$50,0,INDEX(INDICES!$C$11:$K$178,GAR2!$B37,3))</f>
        <v>0</v>
      </c>
      <c r="F37" s="219">
        <f>IF($B37&gt;AUXILIAR!$G$50,0,INDEX(INDICES!$C$11:$K$178,GAR2!$B37,4))</f>
        <v>0</v>
      </c>
      <c r="G37" s="219">
        <f>IF($B37&gt;AUXILIAR!$G$50,0,INDEX(INDICES!$C$11:$K$178,GAR2!$B37,5))</f>
        <v>0</v>
      </c>
      <c r="H37" s="219">
        <f>IF($B37&gt;AUXILIAR!$G$50,0,INDEX(INDICES!$C$11:$K$178,GAR2!$B37,6))</f>
        <v>0</v>
      </c>
      <c r="I37" s="219">
        <f>IF($B37&gt;AUXILIAR!$G$50,0,INDEX(INDICES!$C$11:$K$178,GAR2!$B37,7))</f>
        <v>0</v>
      </c>
      <c r="J37" s="219">
        <f>IF($B37&gt;AUXILIAR!$G$50,0,INDEX(INDICES!$C$11:$K$178,GAR2!$B37,8))</f>
        <v>0</v>
      </c>
      <c r="K37" s="219">
        <f>IF($B37&gt;AUXILIAR!$G$50,0,INDEX(INDICES!$C$11:$K$178,GAR2!$B37,9))</f>
        <v>0</v>
      </c>
      <c r="L37" s="220">
        <f>IF(B37&gt;AUXILIAR!$G$50,"",$C$16*C37/$D$22+$D$16*H37/$I$22+$E$16*D37/$E$22+$F$16*G37/$H$22+$G$16*K37/$L$22+$H$16*E37/$F$22+$I$16*F37/$G$22+$J$16*J37/$K$22+$K$16*I37/$J$22+$L$16)</f>
      </c>
      <c r="M37" s="221">
        <f>INDEX(AUXILIAR!I12:I220,GAR2!$B$27)</f>
        <v>35370</v>
      </c>
      <c r="N37" s="75"/>
      <c r="O37" s="75"/>
      <c r="P37" s="17"/>
    </row>
    <row r="38" spans="1:16" ht="12.75">
      <c r="A38" s="218">
        <f t="shared" si="0"/>
        <v>12</v>
      </c>
      <c r="B38" s="218">
        <f t="shared" si="1"/>
        <v>12</v>
      </c>
      <c r="C38" s="219">
        <f>IF($B38&gt;AUXILIAR!$G$50,0,INDEX(INDICES!$C$11:$K$178,GAR2!$B38,1))</f>
        <v>0</v>
      </c>
      <c r="D38" s="219">
        <f>IF($B38&gt;AUXILIAR!$G$50,0,INDEX(INDICES!$C$11:$K$178,GAR2!$B38,2))</f>
        <v>0</v>
      </c>
      <c r="E38" s="219">
        <f>IF($B38&gt;AUXILIAR!$G$50,0,INDEX(INDICES!$C$11:$K$178,GAR2!$B38,3))</f>
        <v>0</v>
      </c>
      <c r="F38" s="219">
        <f>IF($B38&gt;AUXILIAR!$G$50,0,INDEX(INDICES!$C$11:$K$178,GAR2!$B38,4))</f>
        <v>0</v>
      </c>
      <c r="G38" s="219">
        <f>IF($B38&gt;AUXILIAR!$G$50,0,INDEX(INDICES!$C$11:$K$178,GAR2!$B38,5))</f>
        <v>0</v>
      </c>
      <c r="H38" s="219">
        <f>IF($B38&gt;AUXILIAR!$G$50,0,INDEX(INDICES!$C$11:$K$178,GAR2!$B38,6))</f>
        <v>0</v>
      </c>
      <c r="I38" s="219">
        <f>IF($B38&gt;AUXILIAR!$G$50,0,INDEX(INDICES!$C$11:$K$178,GAR2!$B38,7))</f>
        <v>0</v>
      </c>
      <c r="J38" s="219">
        <f>IF($B38&gt;AUXILIAR!$G$50,0,INDEX(INDICES!$C$11:$K$178,GAR2!$B38,8))</f>
        <v>0</v>
      </c>
      <c r="K38" s="219">
        <f>IF($B38&gt;AUXILIAR!$G$50,0,INDEX(INDICES!$C$11:$K$178,GAR2!$B38,9))</f>
        <v>0</v>
      </c>
      <c r="L38" s="220">
        <f>IF(B38&gt;AUXILIAR!$G$50,"",$C$16*C38/$D$22+$D$16*H38/$I$22+$E$16*D38/$E$22+$F$16*G38/$H$22+$G$16*K38/$L$22+$H$16*E38/$F$22+$I$16*F38/$G$22+$J$16*J38/$K$22+$K$16*I38/$J$22+$L$16)</f>
      </c>
      <c r="M38" s="221">
        <f>INDEX(AUXILIAR!I13:I221,GAR2!$B$27)</f>
        <v>35400</v>
      </c>
      <c r="N38" s="75"/>
      <c r="O38" s="75"/>
      <c r="P38" s="17"/>
    </row>
    <row r="39" spans="1:16" ht="12.75">
      <c r="A39" s="218">
        <f t="shared" si="0"/>
        <v>13</v>
      </c>
      <c r="B39" s="218">
        <f t="shared" si="1"/>
        <v>13</v>
      </c>
      <c r="C39" s="219">
        <f>IF($B39&gt;AUXILIAR!$G$50,0,INDEX(INDICES!$C$11:$K$178,GAR2!$B39,1))</f>
        <v>0</v>
      </c>
      <c r="D39" s="219">
        <f>IF($B39&gt;AUXILIAR!$G$50,0,INDEX(INDICES!$C$11:$K$178,GAR2!$B39,2))</f>
        <v>0</v>
      </c>
      <c r="E39" s="219">
        <f>IF($B39&gt;AUXILIAR!$G$50,0,INDEX(INDICES!$C$11:$K$178,GAR2!$B39,3))</f>
        <v>0</v>
      </c>
      <c r="F39" s="219">
        <f>IF($B39&gt;AUXILIAR!$G$50,0,INDEX(INDICES!$C$11:$K$178,GAR2!$B39,4))</f>
        <v>0</v>
      </c>
      <c r="G39" s="219">
        <f>IF($B39&gt;AUXILIAR!$G$50,0,INDEX(INDICES!$C$11:$K$178,GAR2!$B39,5))</f>
        <v>0</v>
      </c>
      <c r="H39" s="219">
        <f>IF($B39&gt;AUXILIAR!$G$50,0,INDEX(INDICES!$C$11:$K$178,GAR2!$B39,6))</f>
        <v>0</v>
      </c>
      <c r="I39" s="219">
        <f>IF($B39&gt;AUXILIAR!$G$50,0,INDEX(INDICES!$C$11:$K$178,GAR2!$B39,7))</f>
        <v>0</v>
      </c>
      <c r="J39" s="219">
        <f>IF($B39&gt;AUXILIAR!$G$50,0,INDEX(INDICES!$C$11:$K$178,GAR2!$B39,8))</f>
        <v>0</v>
      </c>
      <c r="K39" s="219">
        <f>IF($B39&gt;AUXILIAR!$G$50,0,INDEX(INDICES!$C$11:$K$178,GAR2!$B39,9))</f>
        <v>0</v>
      </c>
      <c r="L39" s="220">
        <f>IF(B39&gt;AUXILIAR!$G$50,"",$C$16*C39/$D$22+$D$16*H39/$I$22+$E$16*D39/$E$22+$F$16*G39/$H$22+$G$16*K39/$L$22+$H$16*E39/$F$22+$I$16*F39/$G$22+$J$16*J39/$K$22+$K$16*I39/$J$22+$L$16)</f>
      </c>
      <c r="M39" s="221">
        <f>INDEX(AUXILIAR!I14:I222,GAR2!$B$27)</f>
        <v>35431</v>
      </c>
      <c r="N39" s="75"/>
      <c r="O39" s="75"/>
      <c r="P39" s="17"/>
    </row>
    <row r="40" spans="1:16" ht="12.75">
      <c r="A40" s="218">
        <f t="shared" si="0"/>
        <v>14</v>
      </c>
      <c r="B40" s="218">
        <f t="shared" si="1"/>
        <v>14</v>
      </c>
      <c r="C40" s="219">
        <f>IF($B40&gt;AUXILIAR!$G$50,0,INDEX(INDICES!$C$11:$K$178,GAR2!$B40,1))</f>
        <v>0</v>
      </c>
      <c r="D40" s="219">
        <f>IF($B40&gt;AUXILIAR!$G$50,0,INDEX(INDICES!$C$11:$K$178,GAR2!$B40,2))</f>
        <v>0</v>
      </c>
      <c r="E40" s="219">
        <f>IF($B40&gt;AUXILIAR!$G$50,0,INDEX(INDICES!$C$11:$K$178,GAR2!$B40,3))</f>
        <v>0</v>
      </c>
      <c r="F40" s="219">
        <f>IF($B40&gt;AUXILIAR!$G$50,0,INDEX(INDICES!$C$11:$K$178,GAR2!$B40,4))</f>
        <v>0</v>
      </c>
      <c r="G40" s="219">
        <f>IF($B40&gt;AUXILIAR!$G$50,0,INDEX(INDICES!$C$11:$K$178,GAR2!$B40,5))</f>
        <v>0</v>
      </c>
      <c r="H40" s="219">
        <f>IF($B40&gt;AUXILIAR!$G$50,0,INDEX(INDICES!$C$11:$K$178,GAR2!$B40,6))</f>
        <v>0</v>
      </c>
      <c r="I40" s="219">
        <f>IF($B40&gt;AUXILIAR!$G$50,0,INDEX(INDICES!$C$11:$K$178,GAR2!$B40,7))</f>
        <v>0</v>
      </c>
      <c r="J40" s="219">
        <f>IF($B40&gt;AUXILIAR!$G$50,0,INDEX(INDICES!$C$11:$K$178,GAR2!$B40,8))</f>
        <v>0</v>
      </c>
      <c r="K40" s="219">
        <f>IF($B40&gt;AUXILIAR!$G$50,0,INDEX(INDICES!$C$11:$K$178,GAR2!$B40,9))</f>
        <v>0</v>
      </c>
      <c r="L40" s="220">
        <f>IF(B40&gt;AUXILIAR!$G$50,"",$C$16*C40/$D$22+$D$16*H40/$I$22+$E$16*D40/$E$22+$F$16*G40/$H$22+$G$16*K40/$L$22+$H$16*E40/$F$22+$I$16*F40/$G$22+$J$16*J40/$K$22+$K$16*I40/$J$22+$L$16)</f>
      </c>
      <c r="M40" s="221">
        <f>INDEX(AUXILIAR!I15:I223,GAR2!$B$27)</f>
        <v>35462</v>
      </c>
      <c r="N40" s="75"/>
      <c r="O40" s="75"/>
      <c r="P40" s="17"/>
    </row>
    <row r="41" spans="1:16" ht="12.75">
      <c r="A41" s="218">
        <f t="shared" si="0"/>
        <v>15</v>
      </c>
      <c r="B41" s="218">
        <f t="shared" si="1"/>
        <v>15</v>
      </c>
      <c r="C41" s="219">
        <f>IF($B41&gt;AUXILIAR!$G$50,0,INDEX(INDICES!$C$11:$K$178,GAR2!$B41,1))</f>
        <v>0</v>
      </c>
      <c r="D41" s="219">
        <f>IF($B41&gt;AUXILIAR!$G$50,0,INDEX(INDICES!$C$11:$K$178,GAR2!$B41,2))</f>
        <v>0</v>
      </c>
      <c r="E41" s="219">
        <f>IF($B41&gt;AUXILIAR!$G$50,0,INDEX(INDICES!$C$11:$K$178,GAR2!$B41,3))</f>
        <v>0</v>
      </c>
      <c r="F41" s="219">
        <f>IF($B41&gt;AUXILIAR!$G$50,0,INDEX(INDICES!$C$11:$K$178,GAR2!$B41,4))</f>
        <v>0</v>
      </c>
      <c r="G41" s="219">
        <f>IF($B41&gt;AUXILIAR!$G$50,0,INDEX(INDICES!$C$11:$K$178,GAR2!$B41,5))</f>
        <v>0</v>
      </c>
      <c r="H41" s="219">
        <f>IF($B41&gt;AUXILIAR!$G$50,0,INDEX(INDICES!$C$11:$K$178,GAR2!$B41,6))</f>
        <v>0</v>
      </c>
      <c r="I41" s="219">
        <f>IF($B41&gt;AUXILIAR!$G$50,0,INDEX(INDICES!$C$11:$K$178,GAR2!$B41,7))</f>
        <v>0</v>
      </c>
      <c r="J41" s="219">
        <f>IF($B41&gt;AUXILIAR!$G$50,0,INDEX(INDICES!$C$11:$K$178,GAR2!$B41,8))</f>
        <v>0</v>
      </c>
      <c r="K41" s="219">
        <f>IF($B41&gt;AUXILIAR!$G$50,0,INDEX(INDICES!$C$11:$K$178,GAR2!$B41,9))</f>
        <v>0</v>
      </c>
      <c r="L41" s="220">
        <f>IF(B41&gt;AUXILIAR!$G$50,"",$C$16*C41/$D$22+$D$16*H41/$I$22+$E$16*D41/$E$22+$F$16*G41/$H$22+$G$16*K41/$L$22+$H$16*E41/$F$22+$I$16*F41/$G$22+$J$16*J41/$K$22+$K$16*I41/$J$22+$L$16)</f>
      </c>
      <c r="M41" s="221">
        <f>INDEX(AUXILIAR!I16:I224,GAR2!$B$27)</f>
        <v>35490</v>
      </c>
      <c r="N41" s="75"/>
      <c r="O41" s="75"/>
      <c r="P41" s="17"/>
    </row>
    <row r="42" spans="1:16" ht="12.75">
      <c r="A42" s="218">
        <f t="shared" si="0"/>
        <v>16</v>
      </c>
      <c r="B42" s="218">
        <f t="shared" si="1"/>
        <v>16</v>
      </c>
      <c r="C42" s="219">
        <f>IF($B42&gt;AUXILIAR!$G$50,0,INDEX(INDICES!$C$11:$K$178,GAR2!$B42,1))</f>
        <v>0</v>
      </c>
      <c r="D42" s="219">
        <f>IF($B42&gt;AUXILIAR!$G$50,0,INDEX(INDICES!$C$11:$K$178,GAR2!$B42,2))</f>
        <v>0</v>
      </c>
      <c r="E42" s="219">
        <f>IF($B42&gt;AUXILIAR!$G$50,0,INDEX(INDICES!$C$11:$K$178,GAR2!$B42,3))</f>
        <v>0</v>
      </c>
      <c r="F42" s="219">
        <f>IF($B42&gt;AUXILIAR!$G$50,0,INDEX(INDICES!$C$11:$K$178,GAR2!$B42,4))</f>
        <v>0</v>
      </c>
      <c r="G42" s="219">
        <f>IF($B42&gt;AUXILIAR!$G$50,0,INDEX(INDICES!$C$11:$K$178,GAR2!$B42,5))</f>
        <v>0</v>
      </c>
      <c r="H42" s="219">
        <f>IF($B42&gt;AUXILIAR!$G$50,0,INDEX(INDICES!$C$11:$K$178,GAR2!$B42,6))</f>
        <v>0</v>
      </c>
      <c r="I42" s="219">
        <f>IF($B42&gt;AUXILIAR!$G$50,0,INDEX(INDICES!$C$11:$K$178,GAR2!$B42,7))</f>
        <v>0</v>
      </c>
      <c r="J42" s="219">
        <f>IF($B42&gt;AUXILIAR!$G$50,0,INDEX(INDICES!$C$11:$K$178,GAR2!$B42,8))</f>
        <v>0</v>
      </c>
      <c r="K42" s="219">
        <f>IF($B42&gt;AUXILIAR!$G$50,0,INDEX(INDICES!$C$11:$K$178,GAR2!$B42,9))</f>
        <v>0</v>
      </c>
      <c r="L42" s="220">
        <f>IF(B42&gt;AUXILIAR!$G$50,"",$C$16*C42/$D$22+$D$16*H42/$I$22+$E$16*D42/$E$22+$F$16*G42/$H$22+$G$16*K42/$L$22+$H$16*E42/$F$22+$I$16*F42/$G$22+$J$16*J42/$K$22+$K$16*I42/$J$22+$L$16)</f>
      </c>
      <c r="M42" s="221">
        <f>INDEX(AUXILIAR!I17:I225,GAR2!$B$27)</f>
        <v>35521</v>
      </c>
      <c r="N42" s="75"/>
      <c r="O42" s="75"/>
      <c r="P42" s="17"/>
    </row>
    <row r="43" spans="1:16" ht="12.75">
      <c r="A43" s="218">
        <f t="shared" si="0"/>
        <v>17</v>
      </c>
      <c r="B43" s="218">
        <f t="shared" si="1"/>
        <v>17</v>
      </c>
      <c r="C43" s="219">
        <f>IF($B43&gt;AUXILIAR!$G$50,0,INDEX(INDICES!$C$11:$K$178,GAR2!$B43,1))</f>
        <v>0</v>
      </c>
      <c r="D43" s="219">
        <f>IF($B43&gt;AUXILIAR!$G$50,0,INDEX(INDICES!$C$11:$K$178,GAR2!$B43,2))</f>
        <v>0</v>
      </c>
      <c r="E43" s="219">
        <f>IF($B43&gt;AUXILIAR!$G$50,0,INDEX(INDICES!$C$11:$K$178,GAR2!$B43,3))</f>
        <v>0</v>
      </c>
      <c r="F43" s="219">
        <f>IF($B43&gt;AUXILIAR!$G$50,0,INDEX(INDICES!$C$11:$K$178,GAR2!$B43,4))</f>
        <v>0</v>
      </c>
      <c r="G43" s="219">
        <f>IF($B43&gt;AUXILIAR!$G$50,0,INDEX(INDICES!$C$11:$K$178,GAR2!$B43,5))</f>
        <v>0</v>
      </c>
      <c r="H43" s="219">
        <f>IF($B43&gt;AUXILIAR!$G$50,0,INDEX(INDICES!$C$11:$K$178,GAR2!$B43,6))</f>
        <v>0</v>
      </c>
      <c r="I43" s="219">
        <f>IF($B43&gt;AUXILIAR!$G$50,0,INDEX(INDICES!$C$11:$K$178,GAR2!$B43,7))</f>
        <v>0</v>
      </c>
      <c r="J43" s="219">
        <f>IF($B43&gt;AUXILIAR!$G$50,0,INDEX(INDICES!$C$11:$K$178,GAR2!$B43,8))</f>
        <v>0</v>
      </c>
      <c r="K43" s="219">
        <f>IF($B43&gt;AUXILIAR!$G$50,0,INDEX(INDICES!$C$11:$K$178,GAR2!$B43,9))</f>
        <v>0</v>
      </c>
      <c r="L43" s="220">
        <f>IF(B43&gt;AUXILIAR!$G$50,"",$C$16*C43/$D$22+$D$16*H43/$I$22+$E$16*D43/$E$22+$F$16*G43/$H$22+$G$16*K43/$L$22+$H$16*E43/$F$22+$I$16*F43/$G$22+$J$16*J43/$K$22+$K$16*I43/$J$22+$L$16)</f>
      </c>
      <c r="M43" s="221">
        <f>INDEX(AUXILIAR!I18:I226,GAR2!$B$27)</f>
        <v>35551</v>
      </c>
      <c r="N43" s="75"/>
      <c r="O43" s="75"/>
      <c r="P43" s="17"/>
    </row>
    <row r="44" spans="1:16" ht="12.75">
      <c r="A44" s="218">
        <f t="shared" si="0"/>
        <v>18</v>
      </c>
      <c r="B44" s="218">
        <f t="shared" si="1"/>
        <v>18</v>
      </c>
      <c r="C44" s="219">
        <f>IF($B44&gt;AUXILIAR!$G$50,0,INDEX(INDICES!$C$11:$K$178,GAR2!$B44,1))</f>
        <v>0</v>
      </c>
      <c r="D44" s="219">
        <f>IF($B44&gt;AUXILIAR!$G$50,0,INDEX(INDICES!$C$11:$K$178,GAR2!$B44,2))</f>
        <v>0</v>
      </c>
      <c r="E44" s="219">
        <f>IF($B44&gt;AUXILIAR!$G$50,0,INDEX(INDICES!$C$11:$K$178,GAR2!$B44,3))</f>
        <v>0</v>
      </c>
      <c r="F44" s="219">
        <f>IF($B44&gt;AUXILIAR!$G$50,0,INDEX(INDICES!$C$11:$K$178,GAR2!$B44,4))</f>
        <v>0</v>
      </c>
      <c r="G44" s="219">
        <f>IF($B44&gt;AUXILIAR!$G$50,0,INDEX(INDICES!$C$11:$K$178,GAR2!$B44,5))</f>
        <v>0</v>
      </c>
      <c r="H44" s="219">
        <f>IF($B44&gt;AUXILIAR!$G$50,0,INDEX(INDICES!$C$11:$K$178,GAR2!$B44,6))</f>
        <v>0</v>
      </c>
      <c r="I44" s="219">
        <f>IF($B44&gt;AUXILIAR!$G$50,0,INDEX(INDICES!$C$11:$K$178,GAR2!$B44,7))</f>
        <v>0</v>
      </c>
      <c r="J44" s="219">
        <f>IF($B44&gt;AUXILIAR!$G$50,0,INDEX(INDICES!$C$11:$K$178,GAR2!$B44,8))</f>
        <v>0</v>
      </c>
      <c r="K44" s="219">
        <f>IF($B44&gt;AUXILIAR!$G$50,0,INDEX(INDICES!$C$11:$K$178,GAR2!$B44,9))</f>
        <v>0</v>
      </c>
      <c r="L44" s="220">
        <f>IF(B44&gt;AUXILIAR!$G$50,"",$C$16*C44/$D$22+$D$16*H44/$I$22+$E$16*D44/$E$22+$F$16*G44/$H$22+$G$16*K44/$L$22+$H$16*E44/$F$22+$I$16*F44/$G$22+$J$16*J44/$K$22+$K$16*I44/$J$22+$L$16)</f>
      </c>
      <c r="M44" s="221">
        <f>INDEX(AUXILIAR!I19:I227,GAR2!$B$27)</f>
        <v>35582</v>
      </c>
      <c r="N44" s="75"/>
      <c r="O44" s="75"/>
      <c r="P44" s="17"/>
    </row>
    <row r="45" spans="1:16" ht="12.75">
      <c r="A45" s="218">
        <f t="shared" si="0"/>
        <v>19</v>
      </c>
      <c r="B45" s="218">
        <f t="shared" si="1"/>
        <v>19</v>
      </c>
      <c r="C45" s="219">
        <f>IF($B45&gt;AUXILIAR!$G$50,0,INDEX(INDICES!$C$11:$K$178,GAR2!$B45,1))</f>
        <v>0</v>
      </c>
      <c r="D45" s="219">
        <f>IF($B45&gt;AUXILIAR!$G$50,0,INDEX(INDICES!$C$11:$K$178,GAR2!$B45,2))</f>
        <v>0</v>
      </c>
      <c r="E45" s="219">
        <f>IF($B45&gt;AUXILIAR!$G$50,0,INDEX(INDICES!$C$11:$K$178,GAR2!$B45,3))</f>
        <v>0</v>
      </c>
      <c r="F45" s="219">
        <f>IF($B45&gt;AUXILIAR!$G$50,0,INDEX(INDICES!$C$11:$K$178,GAR2!$B45,4))</f>
        <v>0</v>
      </c>
      <c r="G45" s="219">
        <f>IF($B45&gt;AUXILIAR!$G$50,0,INDEX(INDICES!$C$11:$K$178,GAR2!$B45,5))</f>
        <v>0</v>
      </c>
      <c r="H45" s="219">
        <f>IF($B45&gt;AUXILIAR!$G$50,0,INDEX(INDICES!$C$11:$K$178,GAR2!$B45,6))</f>
        <v>0</v>
      </c>
      <c r="I45" s="219">
        <f>IF($B45&gt;AUXILIAR!$G$50,0,INDEX(INDICES!$C$11:$K$178,GAR2!$B45,7))</f>
        <v>0</v>
      </c>
      <c r="J45" s="219">
        <f>IF($B45&gt;AUXILIAR!$G$50,0,INDEX(INDICES!$C$11:$K$178,GAR2!$B45,8))</f>
        <v>0</v>
      </c>
      <c r="K45" s="219">
        <f>IF($B45&gt;AUXILIAR!$G$50,0,INDEX(INDICES!$C$11:$K$178,GAR2!$B45,9))</f>
        <v>0</v>
      </c>
      <c r="L45" s="220">
        <f>IF(B45&gt;AUXILIAR!$G$50,"",$C$16*C45/$D$22+$D$16*H45/$I$22+$E$16*D45/$E$22+$F$16*G45/$H$22+$G$16*K45/$L$22+$H$16*E45/$F$22+$I$16*F45/$G$22+$J$16*J45/$K$22+$K$16*I45/$J$22+$L$16)</f>
      </c>
      <c r="M45" s="221">
        <f>INDEX(AUXILIAR!I20:I228,GAR2!$B$27)</f>
        <v>35612</v>
      </c>
      <c r="N45" s="75"/>
      <c r="O45" s="75"/>
      <c r="P45" s="17"/>
    </row>
    <row r="46" spans="1:16" ht="12.75">
      <c r="A46" s="218">
        <f t="shared" si="0"/>
        <v>20</v>
      </c>
      <c r="B46" s="218">
        <f t="shared" si="1"/>
        <v>20</v>
      </c>
      <c r="C46" s="219">
        <f>IF($B46&gt;AUXILIAR!$G$50,0,INDEX(INDICES!$C$11:$K$178,GAR2!$B46,1))</f>
        <v>0</v>
      </c>
      <c r="D46" s="219">
        <f>IF($B46&gt;AUXILIAR!$G$50,0,INDEX(INDICES!$C$11:$K$178,GAR2!$B46,2))</f>
        <v>0</v>
      </c>
      <c r="E46" s="219">
        <f>IF($B46&gt;AUXILIAR!$G$50,0,INDEX(INDICES!$C$11:$K$178,GAR2!$B46,3))</f>
        <v>0</v>
      </c>
      <c r="F46" s="219">
        <f>IF($B46&gt;AUXILIAR!$G$50,0,INDEX(INDICES!$C$11:$K$178,GAR2!$B46,4))</f>
        <v>0</v>
      </c>
      <c r="G46" s="219">
        <f>IF($B46&gt;AUXILIAR!$G$50,0,INDEX(INDICES!$C$11:$K$178,GAR2!$B46,5))</f>
        <v>0</v>
      </c>
      <c r="H46" s="219">
        <f>IF($B46&gt;AUXILIAR!$G$50,0,INDEX(INDICES!$C$11:$K$178,GAR2!$B46,6))</f>
        <v>0</v>
      </c>
      <c r="I46" s="219">
        <f>IF($B46&gt;AUXILIAR!$G$50,0,INDEX(INDICES!$C$11:$K$178,GAR2!$B46,7))</f>
        <v>0</v>
      </c>
      <c r="J46" s="219">
        <f>IF($B46&gt;AUXILIAR!$G$50,0,INDEX(INDICES!$C$11:$K$178,GAR2!$B46,8))</f>
        <v>0</v>
      </c>
      <c r="K46" s="219">
        <f>IF($B46&gt;AUXILIAR!$G$50,0,INDEX(INDICES!$C$11:$K$178,GAR2!$B46,9))</f>
        <v>0</v>
      </c>
      <c r="L46" s="220">
        <f>IF(B46&gt;AUXILIAR!$G$50,"",$C$16*C46/$D$22+$D$16*H46/$I$22+$E$16*D46/$E$22+$F$16*G46/$H$22+$G$16*K46/$L$22+$H$16*E46/$F$22+$I$16*F46/$G$22+$J$16*J46/$K$22+$K$16*I46/$J$22+$L$16)</f>
      </c>
      <c r="M46" s="221">
        <f>INDEX(AUXILIAR!I21:I229,GAR2!$B$27)</f>
        <v>35643</v>
      </c>
      <c r="N46" s="75"/>
      <c r="O46" s="75"/>
      <c r="P46" s="17"/>
    </row>
    <row r="47" spans="1:26" s="4" customFormat="1" ht="12.75">
      <c r="A47" s="218">
        <f t="shared" si="0"/>
        <v>21</v>
      </c>
      <c r="B47" s="218">
        <f t="shared" si="1"/>
        <v>21</v>
      </c>
      <c r="C47" s="219">
        <f>IF($B47&gt;AUXILIAR!$G$50,0,INDEX(INDICES!$C$11:$K$178,GAR2!$B47,1))</f>
        <v>0</v>
      </c>
      <c r="D47" s="219">
        <f>IF($B47&gt;AUXILIAR!$G$50,0,INDEX(INDICES!$C$11:$K$178,GAR2!$B47,2))</f>
        <v>0</v>
      </c>
      <c r="E47" s="219">
        <f>IF($B47&gt;AUXILIAR!$G$50,0,INDEX(INDICES!$C$11:$K$178,GAR2!$B47,3))</f>
        <v>0</v>
      </c>
      <c r="F47" s="219">
        <f>IF($B47&gt;AUXILIAR!$G$50,0,INDEX(INDICES!$C$11:$K$178,GAR2!$B47,4))</f>
        <v>0</v>
      </c>
      <c r="G47" s="219">
        <f>IF($B47&gt;AUXILIAR!$G$50,0,INDEX(INDICES!$C$11:$K$178,GAR2!$B47,5))</f>
        <v>0</v>
      </c>
      <c r="H47" s="219">
        <f>IF($B47&gt;AUXILIAR!$G$50,0,INDEX(INDICES!$C$11:$K$178,GAR2!$B47,6))</f>
        <v>0</v>
      </c>
      <c r="I47" s="219">
        <f>IF($B47&gt;AUXILIAR!$G$50,0,INDEX(INDICES!$C$11:$K$178,GAR2!$B47,7))</f>
        <v>0</v>
      </c>
      <c r="J47" s="219">
        <f>IF($B47&gt;AUXILIAR!$G$50,0,INDEX(INDICES!$C$11:$K$178,GAR2!$B47,8))</f>
        <v>0</v>
      </c>
      <c r="K47" s="219">
        <f>IF($B47&gt;AUXILIAR!$G$50,0,INDEX(INDICES!$C$11:$K$178,GAR2!$B47,9))</f>
        <v>0</v>
      </c>
      <c r="L47" s="220">
        <f>IF(B47&gt;AUXILIAR!$G$50,"",$C$16*C47/$D$22+$D$16*H47/$I$22+$E$16*D47/$E$22+$F$16*G47/$H$22+$G$16*K47/$L$22+$H$16*E47/$F$22+$I$16*F47/$G$22+$J$16*J47/$K$22+$K$16*I47/$J$22+$L$16)</f>
      </c>
      <c r="M47" s="221">
        <f>INDEX(AUXILIAR!I22:I230,GAR2!$B$27)</f>
        <v>35674</v>
      </c>
      <c r="N47" s="79"/>
      <c r="O47" s="79"/>
      <c r="P47" s="19"/>
      <c r="Y47" s="47"/>
      <c r="Z47" s="47"/>
    </row>
    <row r="48" spans="1:26" s="4" customFormat="1" ht="12.75">
      <c r="A48" s="218">
        <f t="shared" si="0"/>
        <v>22</v>
      </c>
      <c r="B48" s="218">
        <f t="shared" si="1"/>
        <v>22</v>
      </c>
      <c r="C48" s="219">
        <f>IF($B48&gt;AUXILIAR!$G$50,0,INDEX(INDICES!$C$11:$K$178,GAR2!$B48,1))</f>
        <v>0</v>
      </c>
      <c r="D48" s="219">
        <f>IF($B48&gt;AUXILIAR!$G$50,0,INDEX(INDICES!$C$11:$K$178,GAR2!$B48,2))</f>
        <v>0</v>
      </c>
      <c r="E48" s="219">
        <f>IF($B48&gt;AUXILIAR!$G$50,0,INDEX(INDICES!$C$11:$K$178,GAR2!$B48,3))</f>
        <v>0</v>
      </c>
      <c r="F48" s="219">
        <f>IF($B48&gt;AUXILIAR!$G$50,0,INDEX(INDICES!$C$11:$K$178,GAR2!$B48,4))</f>
        <v>0</v>
      </c>
      <c r="G48" s="219">
        <f>IF($B48&gt;AUXILIAR!$G$50,0,INDEX(INDICES!$C$11:$K$178,GAR2!$B48,5))</f>
        <v>0</v>
      </c>
      <c r="H48" s="219">
        <f>IF($B48&gt;AUXILIAR!$G$50,0,INDEX(INDICES!$C$11:$K$178,GAR2!$B48,6))</f>
        <v>0</v>
      </c>
      <c r="I48" s="219">
        <f>IF($B48&gt;AUXILIAR!$G$50,0,INDEX(INDICES!$C$11:$K$178,GAR2!$B48,7))</f>
        <v>0</v>
      </c>
      <c r="J48" s="219">
        <f>IF($B48&gt;AUXILIAR!$G$50,0,INDEX(INDICES!$C$11:$K$178,GAR2!$B48,8))</f>
        <v>0</v>
      </c>
      <c r="K48" s="219">
        <f>IF($B48&gt;AUXILIAR!$G$50,0,INDEX(INDICES!$C$11:$K$178,GAR2!$B48,9))</f>
        <v>0</v>
      </c>
      <c r="L48" s="220">
        <f>IF(B48&gt;AUXILIAR!$G$50,"",$C$16*C48/$D$22+$D$16*H48/$I$22+$E$16*D48/$E$22+$F$16*G48/$H$22+$G$16*K48/$L$22+$H$16*E48/$F$22+$I$16*F48/$G$22+$J$16*J48/$K$22+$K$16*I48/$J$22+$L$16)</f>
      </c>
      <c r="M48" s="221">
        <f>INDEX(AUXILIAR!I23:I231,GAR2!$B$27)</f>
        <v>35704</v>
      </c>
      <c r="N48" s="79"/>
      <c r="O48" s="79"/>
      <c r="P48" s="19"/>
      <c r="Y48" s="47"/>
      <c r="Z48" s="47"/>
    </row>
    <row r="49" spans="1:26" s="4" customFormat="1" ht="12.75">
      <c r="A49" s="218">
        <f t="shared" si="0"/>
        <v>23</v>
      </c>
      <c r="B49" s="218">
        <f t="shared" si="1"/>
        <v>23</v>
      </c>
      <c r="C49" s="219">
        <f>IF($B49&gt;AUXILIAR!$G$50,0,INDEX(INDICES!$C$11:$K$178,GAR2!$B49,1))</f>
        <v>0</v>
      </c>
      <c r="D49" s="219">
        <f>IF($B49&gt;AUXILIAR!$G$50,0,INDEX(INDICES!$C$11:$K$178,GAR2!$B49,2))</f>
        <v>0</v>
      </c>
      <c r="E49" s="219">
        <f>IF($B49&gt;AUXILIAR!$G$50,0,INDEX(INDICES!$C$11:$K$178,GAR2!$B49,3))</f>
        <v>0</v>
      </c>
      <c r="F49" s="219">
        <f>IF($B49&gt;AUXILIAR!$G$50,0,INDEX(INDICES!$C$11:$K$178,GAR2!$B49,4))</f>
        <v>0</v>
      </c>
      <c r="G49" s="219">
        <f>IF($B49&gt;AUXILIAR!$G$50,0,INDEX(INDICES!$C$11:$K$178,GAR2!$B49,5))</f>
        <v>0</v>
      </c>
      <c r="H49" s="219">
        <f>IF($B49&gt;AUXILIAR!$G$50,0,INDEX(INDICES!$C$11:$K$178,GAR2!$B49,6))</f>
        <v>0</v>
      </c>
      <c r="I49" s="219">
        <f>IF($B49&gt;AUXILIAR!$G$50,0,INDEX(INDICES!$C$11:$K$178,GAR2!$B49,7))</f>
        <v>0</v>
      </c>
      <c r="J49" s="219">
        <f>IF($B49&gt;AUXILIAR!$G$50,0,INDEX(INDICES!$C$11:$K$178,GAR2!$B49,8))</f>
        <v>0</v>
      </c>
      <c r="K49" s="219">
        <f>IF($B49&gt;AUXILIAR!$G$50,0,INDEX(INDICES!$C$11:$K$178,GAR2!$B49,9))</f>
        <v>0</v>
      </c>
      <c r="L49" s="220">
        <f>IF(B49&gt;AUXILIAR!$G$50,"",$C$16*C49/$D$22+$D$16*H49/$I$22+$E$16*D49/$E$22+$F$16*G49/$H$22+$G$16*K49/$L$22+$H$16*E49/$F$22+$I$16*F49/$G$22+$J$16*J49/$K$22+$K$16*I49/$J$22+$L$16)</f>
      </c>
      <c r="M49" s="221">
        <f>INDEX(AUXILIAR!I24:I232,GAR2!$B$27)</f>
        <v>35735</v>
      </c>
      <c r="N49" s="79"/>
      <c r="O49" s="79"/>
      <c r="P49" s="19"/>
      <c r="Y49" s="47"/>
      <c r="Z49" s="47"/>
    </row>
    <row r="50" spans="1:26" s="4" customFormat="1" ht="12.75">
      <c r="A50" s="218">
        <f t="shared" si="0"/>
        <v>24</v>
      </c>
      <c r="B50" s="218">
        <f t="shared" si="1"/>
        <v>24</v>
      </c>
      <c r="C50" s="219">
        <f>IF($B50&gt;AUXILIAR!$G$50,0,INDEX(INDICES!$C$11:$K$178,GAR2!$B50,1))</f>
        <v>0</v>
      </c>
      <c r="D50" s="219">
        <f>IF($B50&gt;AUXILIAR!$G$50,0,INDEX(INDICES!$C$11:$K$178,GAR2!$B50,2))</f>
        <v>0</v>
      </c>
      <c r="E50" s="219">
        <f>IF($B50&gt;AUXILIAR!$G$50,0,INDEX(INDICES!$C$11:$K$178,GAR2!$B50,3))</f>
        <v>0</v>
      </c>
      <c r="F50" s="219">
        <f>IF($B50&gt;AUXILIAR!$G$50,0,INDEX(INDICES!$C$11:$K$178,GAR2!$B50,4))</f>
        <v>0</v>
      </c>
      <c r="G50" s="219">
        <f>IF($B50&gt;AUXILIAR!$G$50,0,INDEX(INDICES!$C$11:$K$178,GAR2!$B50,5))</f>
        <v>0</v>
      </c>
      <c r="H50" s="219">
        <f>IF($B50&gt;AUXILIAR!$G$50,0,INDEX(INDICES!$C$11:$K$178,GAR2!$B50,6))</f>
        <v>0</v>
      </c>
      <c r="I50" s="219">
        <f>IF($B50&gt;AUXILIAR!$G$50,0,INDEX(INDICES!$C$11:$K$178,GAR2!$B50,7))</f>
        <v>0</v>
      </c>
      <c r="J50" s="219">
        <f>IF($B50&gt;AUXILIAR!$G$50,0,INDEX(INDICES!$C$11:$K$178,GAR2!$B50,8))</f>
        <v>0</v>
      </c>
      <c r="K50" s="219">
        <f>IF($B50&gt;AUXILIAR!$G$50,0,INDEX(INDICES!$C$11:$K$178,GAR2!$B50,9))</f>
        <v>0</v>
      </c>
      <c r="L50" s="220">
        <f>IF(B50&gt;AUXILIAR!$G$50,"",$C$16*C50/$D$22+$D$16*H50/$I$22+$E$16*D50/$E$22+$F$16*G50/$H$22+$G$16*K50/$L$22+$H$16*E50/$F$22+$I$16*F50/$G$22+$J$16*J50/$K$22+$K$16*I50/$J$22+$L$16)</f>
      </c>
      <c r="M50" s="221">
        <f>INDEX(AUXILIAR!I25:I233,GAR2!$B$27)</f>
        <v>35765</v>
      </c>
      <c r="N50" s="79"/>
      <c r="O50" s="79"/>
      <c r="P50" s="19"/>
      <c r="Z50" s="47"/>
    </row>
    <row r="51" spans="1:26" s="4" customFormat="1" ht="12.75">
      <c r="A51" s="218">
        <f t="shared" si="0"/>
        <v>25</v>
      </c>
      <c r="B51" s="218">
        <f t="shared" si="1"/>
        <v>25</v>
      </c>
      <c r="C51" s="219">
        <f>IF($B51&gt;AUXILIAR!$G$50,0,INDEX(INDICES!$C$11:$K$178,GAR2!$B51,1))</f>
        <v>0</v>
      </c>
      <c r="D51" s="219">
        <f>IF($B51&gt;AUXILIAR!$G$50,0,INDEX(INDICES!$C$11:$K$178,GAR2!$B51,2))</f>
        <v>0</v>
      </c>
      <c r="E51" s="219">
        <f>IF($B51&gt;AUXILIAR!$G$50,0,INDEX(INDICES!$C$11:$K$178,GAR2!$B51,3))</f>
        <v>0</v>
      </c>
      <c r="F51" s="219">
        <f>IF($B51&gt;AUXILIAR!$G$50,0,INDEX(INDICES!$C$11:$K$178,GAR2!$B51,4))</f>
        <v>0</v>
      </c>
      <c r="G51" s="219">
        <f>IF($B51&gt;AUXILIAR!$G$50,0,INDEX(INDICES!$C$11:$K$178,GAR2!$B51,5))</f>
        <v>0</v>
      </c>
      <c r="H51" s="219">
        <f>IF($B51&gt;AUXILIAR!$G$50,0,INDEX(INDICES!$C$11:$K$178,GAR2!$B51,6))</f>
        <v>0</v>
      </c>
      <c r="I51" s="219">
        <f>IF($B51&gt;AUXILIAR!$G$50,0,INDEX(INDICES!$C$11:$K$178,GAR2!$B51,7))</f>
        <v>0</v>
      </c>
      <c r="J51" s="219">
        <f>IF($B51&gt;AUXILIAR!$G$50,0,INDEX(INDICES!$C$11:$K$178,GAR2!$B51,8))</f>
        <v>0</v>
      </c>
      <c r="K51" s="219">
        <f>IF($B51&gt;AUXILIAR!$G$50,0,INDEX(INDICES!$C$11:$K$178,GAR2!$B51,9))</f>
        <v>0</v>
      </c>
      <c r="L51" s="220">
        <f>IF(B51&gt;AUXILIAR!$G$50,"",$C$16*C51/$D$22+$D$16*H51/$I$22+$E$16*D51/$E$22+$F$16*G51/$H$22+$G$16*K51/$L$22+$H$16*E51/$F$22+$I$16*F51/$G$22+$J$16*J51/$K$22+$K$16*I51/$J$22+$L$16)</f>
      </c>
      <c r="M51" s="221">
        <f>INDEX(AUXILIAR!I26:I234,GAR2!$B$27)</f>
        <v>35796</v>
      </c>
      <c r="N51" s="79"/>
      <c r="O51" s="79"/>
      <c r="P51" s="19"/>
      <c r="Z51" s="47"/>
    </row>
    <row r="52" spans="1:26" s="4" customFormat="1" ht="12.75">
      <c r="A52" s="218">
        <f t="shared" si="0"/>
        <v>26</v>
      </c>
      <c r="B52" s="218">
        <f t="shared" si="1"/>
        <v>26</v>
      </c>
      <c r="C52" s="219">
        <f>IF($B52&gt;AUXILIAR!$G$50,0,INDEX(INDICES!$C$11:$K$178,GAR2!$B52,1))</f>
        <v>0</v>
      </c>
      <c r="D52" s="219">
        <f>IF($B52&gt;AUXILIAR!$G$50,0,INDEX(INDICES!$C$11:$K$178,GAR2!$B52,2))</f>
        <v>0</v>
      </c>
      <c r="E52" s="219">
        <f>IF($B52&gt;AUXILIAR!$G$50,0,INDEX(INDICES!$C$11:$K$178,GAR2!$B52,3))</f>
        <v>0</v>
      </c>
      <c r="F52" s="219">
        <f>IF($B52&gt;AUXILIAR!$G$50,0,INDEX(INDICES!$C$11:$K$178,GAR2!$B52,4))</f>
        <v>0</v>
      </c>
      <c r="G52" s="219">
        <f>IF($B52&gt;AUXILIAR!$G$50,0,INDEX(INDICES!$C$11:$K$178,GAR2!$B52,5))</f>
        <v>0</v>
      </c>
      <c r="H52" s="219">
        <f>IF($B52&gt;AUXILIAR!$G$50,0,INDEX(INDICES!$C$11:$K$178,GAR2!$B52,6))</f>
        <v>0</v>
      </c>
      <c r="I52" s="219">
        <f>IF($B52&gt;AUXILIAR!$G$50,0,INDEX(INDICES!$C$11:$K$178,GAR2!$B52,7))</f>
        <v>0</v>
      </c>
      <c r="J52" s="219">
        <f>IF($B52&gt;AUXILIAR!$G$50,0,INDEX(INDICES!$C$11:$K$178,GAR2!$B52,8))</f>
        <v>0</v>
      </c>
      <c r="K52" s="219">
        <f>IF($B52&gt;AUXILIAR!$G$50,0,INDEX(INDICES!$C$11:$K$178,GAR2!$B52,9))</f>
        <v>0</v>
      </c>
      <c r="L52" s="220">
        <f>IF(B52&gt;AUXILIAR!$G$50,"",$C$16*C52/$D$22+$D$16*H52/$I$22+$E$16*D52/$E$22+$F$16*G52/$H$22+$G$16*K52/$L$22+$H$16*E52/$F$22+$I$16*F52/$G$22+$J$16*J52/$K$22+$K$16*I52/$J$22+$L$16)</f>
      </c>
      <c r="M52" s="221">
        <f>INDEX(AUXILIAR!I27:I235,GAR2!$B$27)</f>
        <v>35827</v>
      </c>
      <c r="N52" s="79"/>
      <c r="O52" s="79"/>
      <c r="P52" s="19"/>
      <c r="Z52" s="47"/>
    </row>
    <row r="53" spans="1:16" s="4" customFormat="1" ht="12.75">
      <c r="A53" s="218">
        <f t="shared" si="0"/>
        <v>27</v>
      </c>
      <c r="B53" s="218">
        <f t="shared" si="1"/>
        <v>27</v>
      </c>
      <c r="C53" s="219">
        <f>IF($B53&gt;AUXILIAR!$G$50,0,INDEX(INDICES!$C$11:$K$178,GAR2!$B53,1))</f>
        <v>0</v>
      </c>
      <c r="D53" s="219">
        <f>IF($B53&gt;AUXILIAR!$G$50,0,INDEX(INDICES!$C$11:$K$178,GAR2!$B53,2))</f>
        <v>0</v>
      </c>
      <c r="E53" s="219">
        <f>IF($B53&gt;AUXILIAR!$G$50,0,INDEX(INDICES!$C$11:$K$178,GAR2!$B53,3))</f>
        <v>0</v>
      </c>
      <c r="F53" s="219">
        <f>IF($B53&gt;AUXILIAR!$G$50,0,INDEX(INDICES!$C$11:$K$178,GAR2!$B53,4))</f>
        <v>0</v>
      </c>
      <c r="G53" s="219">
        <f>IF($B53&gt;AUXILIAR!$G$50,0,INDEX(INDICES!$C$11:$K$178,GAR2!$B53,5))</f>
        <v>0</v>
      </c>
      <c r="H53" s="219">
        <f>IF($B53&gt;AUXILIAR!$G$50,0,INDEX(INDICES!$C$11:$K$178,GAR2!$B53,6))</f>
        <v>0</v>
      </c>
      <c r="I53" s="219">
        <f>IF($B53&gt;AUXILIAR!$G$50,0,INDEX(INDICES!$C$11:$K$178,GAR2!$B53,7))</f>
        <v>0</v>
      </c>
      <c r="J53" s="219">
        <f>IF($B53&gt;AUXILIAR!$G$50,0,INDEX(INDICES!$C$11:$K$178,GAR2!$B53,8))</f>
        <v>0</v>
      </c>
      <c r="K53" s="219">
        <f>IF($B53&gt;AUXILIAR!$G$50,0,INDEX(INDICES!$C$11:$K$178,GAR2!$B53,9))</f>
        <v>0</v>
      </c>
      <c r="L53" s="220">
        <f>IF(B53&gt;AUXILIAR!$G$50,"",$C$16*C53/$D$22+$D$16*H53/$I$22+$E$16*D53/$E$22+$F$16*G53/$H$22+$G$16*K53/$L$22+$H$16*E53/$F$22+$I$16*F53/$G$22+$J$16*J53/$K$22+$K$16*I53/$J$22+$L$16)</f>
      </c>
      <c r="M53" s="221">
        <f>INDEX(AUXILIAR!I28:I236,GAR2!$B$27)</f>
        <v>35855</v>
      </c>
      <c r="N53" s="79"/>
      <c r="O53" s="79"/>
      <c r="P53" s="19"/>
    </row>
    <row r="54" spans="1:16" s="4" customFormat="1" ht="12.75">
      <c r="A54" s="218">
        <f t="shared" si="0"/>
        <v>28</v>
      </c>
      <c r="B54" s="218">
        <f t="shared" si="1"/>
        <v>28</v>
      </c>
      <c r="C54" s="219">
        <f>IF($B54&gt;AUXILIAR!$G$50,0,INDEX(INDICES!$C$11:$K$178,GAR2!$B54,1))</f>
        <v>0</v>
      </c>
      <c r="D54" s="219">
        <f>IF($B54&gt;AUXILIAR!$G$50,0,INDEX(INDICES!$C$11:$K$178,GAR2!$B54,2))</f>
        <v>0</v>
      </c>
      <c r="E54" s="219">
        <f>IF($B54&gt;AUXILIAR!$G$50,0,INDEX(INDICES!$C$11:$K$178,GAR2!$B54,3))</f>
        <v>0</v>
      </c>
      <c r="F54" s="219">
        <f>IF($B54&gt;AUXILIAR!$G$50,0,INDEX(INDICES!$C$11:$K$178,GAR2!$B54,4))</f>
        <v>0</v>
      </c>
      <c r="G54" s="219">
        <f>IF($B54&gt;AUXILIAR!$G$50,0,INDEX(INDICES!$C$11:$K$178,GAR2!$B54,5))</f>
        <v>0</v>
      </c>
      <c r="H54" s="219">
        <f>IF($B54&gt;AUXILIAR!$G$50,0,INDEX(INDICES!$C$11:$K$178,GAR2!$B54,6))</f>
        <v>0</v>
      </c>
      <c r="I54" s="219">
        <f>IF($B54&gt;AUXILIAR!$G$50,0,INDEX(INDICES!$C$11:$K$178,GAR2!$B54,7))</f>
        <v>0</v>
      </c>
      <c r="J54" s="219">
        <f>IF($B54&gt;AUXILIAR!$G$50,0,INDEX(INDICES!$C$11:$K$178,GAR2!$B54,8))</f>
        <v>0</v>
      </c>
      <c r="K54" s="219">
        <f>IF($B54&gt;AUXILIAR!$G$50,0,INDEX(INDICES!$C$11:$K$178,GAR2!$B54,9))</f>
        <v>0</v>
      </c>
      <c r="L54" s="220">
        <f>IF(B54&gt;AUXILIAR!$G$50,"",$C$16*C54/$D$22+$D$16*H54/$I$22+$E$16*D54/$E$22+$F$16*G54/$H$22+$G$16*K54/$L$22+$H$16*E54/$F$22+$I$16*F54/$G$22+$J$16*J54/$K$22+$K$16*I54/$J$22+$L$16)</f>
      </c>
      <c r="M54" s="221">
        <f>INDEX(AUXILIAR!I29:I237,GAR2!$B$27)</f>
        <v>35886</v>
      </c>
      <c r="N54" s="79"/>
      <c r="O54" s="79"/>
      <c r="P54" s="19"/>
    </row>
    <row r="55" spans="1:16" s="4" customFormat="1" ht="12.75">
      <c r="A55" s="218">
        <f t="shared" si="0"/>
        <v>29</v>
      </c>
      <c r="B55" s="218">
        <f t="shared" si="1"/>
        <v>29</v>
      </c>
      <c r="C55" s="219">
        <f>IF($B55&gt;AUXILIAR!$G$50,0,INDEX(INDICES!$C$11:$K$178,GAR2!$B55,1))</f>
        <v>0</v>
      </c>
      <c r="D55" s="219">
        <f>IF($B55&gt;AUXILIAR!$G$50,0,INDEX(INDICES!$C$11:$K$178,GAR2!$B55,2))</f>
        <v>0</v>
      </c>
      <c r="E55" s="219">
        <f>IF($B55&gt;AUXILIAR!$G$50,0,INDEX(INDICES!$C$11:$K$178,GAR2!$B55,3))</f>
        <v>0</v>
      </c>
      <c r="F55" s="219">
        <f>IF($B55&gt;AUXILIAR!$G$50,0,INDEX(INDICES!$C$11:$K$178,GAR2!$B55,4))</f>
        <v>0</v>
      </c>
      <c r="G55" s="219">
        <f>IF($B55&gt;AUXILIAR!$G$50,0,INDEX(INDICES!$C$11:$K$178,GAR2!$B55,5))</f>
        <v>0</v>
      </c>
      <c r="H55" s="219">
        <f>IF($B55&gt;AUXILIAR!$G$50,0,INDEX(INDICES!$C$11:$K$178,GAR2!$B55,6))</f>
        <v>0</v>
      </c>
      <c r="I55" s="219">
        <f>IF($B55&gt;AUXILIAR!$G$50,0,INDEX(INDICES!$C$11:$K$178,GAR2!$B55,7))</f>
        <v>0</v>
      </c>
      <c r="J55" s="219">
        <f>IF($B55&gt;AUXILIAR!$G$50,0,INDEX(INDICES!$C$11:$K$178,GAR2!$B55,8))</f>
        <v>0</v>
      </c>
      <c r="K55" s="219">
        <f>IF($B55&gt;AUXILIAR!$G$50,0,INDEX(INDICES!$C$11:$K$178,GAR2!$B55,9))</f>
        <v>0</v>
      </c>
      <c r="L55" s="220">
        <f>IF(B55&gt;AUXILIAR!$G$50,"",$C$16*C55/$D$22+$D$16*H55/$I$22+$E$16*D55/$E$22+$F$16*G55/$H$22+$G$16*K55/$L$22+$H$16*E55/$F$22+$I$16*F55/$G$22+$J$16*J55/$K$22+$K$16*I55/$J$22+$L$16)</f>
      </c>
      <c r="M55" s="221">
        <f>INDEX(AUXILIAR!I30:I238,GAR2!$B$27)</f>
        <v>35916</v>
      </c>
      <c r="N55" s="79"/>
      <c r="O55" s="79"/>
      <c r="P55" s="19"/>
    </row>
    <row r="56" spans="1:16" s="4" customFormat="1" ht="12.75">
      <c r="A56" s="218">
        <f t="shared" si="0"/>
        <v>30</v>
      </c>
      <c r="B56" s="218">
        <f t="shared" si="1"/>
        <v>30</v>
      </c>
      <c r="C56" s="219">
        <f>IF($B56&gt;AUXILIAR!$G$50,0,INDEX(INDICES!$C$11:$K$178,GAR2!$B56,1))</f>
        <v>0</v>
      </c>
      <c r="D56" s="219">
        <f>IF($B56&gt;AUXILIAR!$G$50,0,INDEX(INDICES!$C$11:$K$178,GAR2!$B56,2))</f>
        <v>0</v>
      </c>
      <c r="E56" s="219">
        <f>IF($B56&gt;AUXILIAR!$G$50,0,INDEX(INDICES!$C$11:$K$178,GAR2!$B56,3))</f>
        <v>0</v>
      </c>
      <c r="F56" s="219">
        <f>IF($B56&gt;AUXILIAR!$G$50,0,INDEX(INDICES!$C$11:$K$178,GAR2!$B56,4))</f>
        <v>0</v>
      </c>
      <c r="G56" s="219">
        <f>IF($B56&gt;AUXILIAR!$G$50,0,INDEX(INDICES!$C$11:$K$178,GAR2!$B56,5))</f>
        <v>0</v>
      </c>
      <c r="H56" s="219">
        <f>IF($B56&gt;AUXILIAR!$G$50,0,INDEX(INDICES!$C$11:$K$178,GAR2!$B56,6))</f>
        <v>0</v>
      </c>
      <c r="I56" s="219">
        <f>IF($B56&gt;AUXILIAR!$G$50,0,INDEX(INDICES!$C$11:$K$178,GAR2!$B56,7))</f>
        <v>0</v>
      </c>
      <c r="J56" s="219">
        <f>IF($B56&gt;AUXILIAR!$G$50,0,INDEX(INDICES!$C$11:$K$178,GAR2!$B56,8))</f>
        <v>0</v>
      </c>
      <c r="K56" s="219">
        <f>IF($B56&gt;AUXILIAR!$G$50,0,INDEX(INDICES!$C$11:$K$178,GAR2!$B56,9))</f>
        <v>0</v>
      </c>
      <c r="L56" s="220">
        <f>IF(B56&gt;AUXILIAR!$G$50,"",$C$16*C56/$D$22+$D$16*H56/$I$22+$E$16*D56/$E$22+$F$16*G56/$H$22+$G$16*K56/$L$22+$H$16*E56/$F$22+$I$16*F56/$G$22+$J$16*J56/$K$22+$K$16*I56/$J$22+$L$16)</f>
      </c>
      <c r="M56" s="221">
        <f>INDEX(AUXILIAR!I31:I239,GAR2!$B$27)</f>
        <v>35947</v>
      </c>
      <c r="N56" s="79"/>
      <c r="O56" s="79"/>
      <c r="P56" s="19"/>
    </row>
    <row r="57" spans="1:16" s="4" customFormat="1" ht="12.75">
      <c r="A57" s="218">
        <f t="shared" si="0"/>
        <v>31</v>
      </c>
      <c r="B57" s="218">
        <f t="shared" si="1"/>
        <v>31</v>
      </c>
      <c r="C57" s="219">
        <f>IF($B57&gt;AUXILIAR!$G$50,0,INDEX(INDICES!$C$11:$K$178,GAR2!$B57,1))</f>
        <v>0</v>
      </c>
      <c r="D57" s="219">
        <f>IF($B57&gt;AUXILIAR!$G$50,0,INDEX(INDICES!$C$11:$K$178,GAR2!$B57,2))</f>
        <v>0</v>
      </c>
      <c r="E57" s="219">
        <f>IF($B57&gt;AUXILIAR!$G$50,0,INDEX(INDICES!$C$11:$K$178,GAR2!$B57,3))</f>
        <v>0</v>
      </c>
      <c r="F57" s="219">
        <f>IF($B57&gt;AUXILIAR!$G$50,0,INDEX(INDICES!$C$11:$K$178,GAR2!$B57,4))</f>
        <v>0</v>
      </c>
      <c r="G57" s="219">
        <f>IF($B57&gt;AUXILIAR!$G$50,0,INDEX(INDICES!$C$11:$K$178,GAR2!$B57,5))</f>
        <v>0</v>
      </c>
      <c r="H57" s="219">
        <f>IF($B57&gt;AUXILIAR!$G$50,0,INDEX(INDICES!$C$11:$K$178,GAR2!$B57,6))</f>
        <v>0</v>
      </c>
      <c r="I57" s="219">
        <f>IF($B57&gt;AUXILIAR!$G$50,0,INDEX(INDICES!$C$11:$K$178,GAR2!$B57,7))</f>
        <v>0</v>
      </c>
      <c r="J57" s="219">
        <f>IF($B57&gt;AUXILIAR!$G$50,0,INDEX(INDICES!$C$11:$K$178,GAR2!$B57,8))</f>
        <v>0</v>
      </c>
      <c r="K57" s="219">
        <f>IF($B57&gt;AUXILIAR!$G$50,0,INDEX(INDICES!$C$11:$K$178,GAR2!$B57,9))</f>
        <v>0</v>
      </c>
      <c r="L57" s="220">
        <f>IF(B57&gt;AUXILIAR!$G$50,"",$C$16*C57/$D$22+$D$16*H57/$I$22+$E$16*D57/$E$22+$F$16*G57/$H$22+$G$16*K57/$L$22+$H$16*E57/$F$22+$I$16*F57/$G$22+$J$16*J57/$K$22+$K$16*I57/$J$22+$L$16)</f>
      </c>
      <c r="M57" s="221">
        <f>INDEX(AUXILIAR!I32:I240,GAR2!$B$27)</f>
        <v>35977</v>
      </c>
      <c r="N57" s="79"/>
      <c r="O57" s="79"/>
      <c r="P57" s="19"/>
    </row>
    <row r="58" spans="1:16" s="4" customFormat="1" ht="12.75">
      <c r="A58" s="218">
        <f t="shared" si="0"/>
        <v>32</v>
      </c>
      <c r="B58" s="218">
        <f t="shared" si="1"/>
        <v>32</v>
      </c>
      <c r="C58" s="219">
        <f>IF($B58&gt;AUXILIAR!$G$50,0,INDEX(INDICES!$C$11:$K$178,GAR2!$B58,1))</f>
        <v>0</v>
      </c>
      <c r="D58" s="219">
        <f>IF($B58&gt;AUXILIAR!$G$50,0,INDEX(INDICES!$C$11:$K$178,GAR2!$B58,2))</f>
        <v>0</v>
      </c>
      <c r="E58" s="219">
        <f>IF($B58&gt;AUXILIAR!$G$50,0,INDEX(INDICES!$C$11:$K$178,GAR2!$B58,3))</f>
        <v>0</v>
      </c>
      <c r="F58" s="219">
        <f>IF($B58&gt;AUXILIAR!$G$50,0,INDEX(INDICES!$C$11:$K$178,GAR2!$B58,4))</f>
        <v>0</v>
      </c>
      <c r="G58" s="219">
        <f>IF($B58&gt;AUXILIAR!$G$50,0,INDEX(INDICES!$C$11:$K$178,GAR2!$B58,5))</f>
        <v>0</v>
      </c>
      <c r="H58" s="219">
        <f>IF($B58&gt;AUXILIAR!$G$50,0,INDEX(INDICES!$C$11:$K$178,GAR2!$B58,6))</f>
        <v>0</v>
      </c>
      <c r="I58" s="219">
        <f>IF($B58&gt;AUXILIAR!$G$50,0,INDEX(INDICES!$C$11:$K$178,GAR2!$B58,7))</f>
        <v>0</v>
      </c>
      <c r="J58" s="219">
        <f>IF($B58&gt;AUXILIAR!$G$50,0,INDEX(INDICES!$C$11:$K$178,GAR2!$B58,8))</f>
        <v>0</v>
      </c>
      <c r="K58" s="219">
        <f>IF($B58&gt;AUXILIAR!$G$50,0,INDEX(INDICES!$C$11:$K$178,GAR2!$B58,9))</f>
        <v>0</v>
      </c>
      <c r="L58" s="220">
        <f>IF(B58&gt;AUXILIAR!$G$50,"",$C$16*C58/$D$22+$D$16*H58/$I$22+$E$16*D58/$E$22+$F$16*G58/$H$22+$G$16*K58/$L$22+$H$16*E58/$F$22+$I$16*F58/$G$22+$J$16*J58/$K$22+$K$16*I58/$J$22+$L$16)</f>
      </c>
      <c r="M58" s="221">
        <f>INDEX(AUXILIAR!I33:I241,GAR2!$B$27)</f>
        <v>36008</v>
      </c>
      <c r="N58" s="79"/>
      <c r="O58" s="79"/>
      <c r="P58" s="19"/>
    </row>
    <row r="59" spans="1:16" s="4" customFormat="1" ht="12.75">
      <c r="A59" s="218">
        <f t="shared" si="0"/>
        <v>33</v>
      </c>
      <c r="B59" s="218">
        <f t="shared" si="1"/>
        <v>33</v>
      </c>
      <c r="C59" s="219">
        <f>IF($B59&gt;AUXILIAR!$G$50,0,INDEX(INDICES!$C$11:$K$178,GAR2!$B59,1))</f>
        <v>0</v>
      </c>
      <c r="D59" s="219">
        <f>IF($B59&gt;AUXILIAR!$G$50,0,INDEX(INDICES!$C$11:$K$178,GAR2!$B59,2))</f>
        <v>0</v>
      </c>
      <c r="E59" s="219">
        <f>IF($B59&gt;AUXILIAR!$G$50,0,INDEX(INDICES!$C$11:$K$178,GAR2!$B59,3))</f>
        <v>0</v>
      </c>
      <c r="F59" s="219">
        <f>IF($B59&gt;AUXILIAR!$G$50,0,INDEX(INDICES!$C$11:$K$178,GAR2!$B59,4))</f>
        <v>0</v>
      </c>
      <c r="G59" s="219">
        <f>IF($B59&gt;AUXILIAR!$G$50,0,INDEX(INDICES!$C$11:$K$178,GAR2!$B59,5))</f>
        <v>0</v>
      </c>
      <c r="H59" s="219">
        <f>IF($B59&gt;AUXILIAR!$G$50,0,INDEX(INDICES!$C$11:$K$178,GAR2!$B59,6))</f>
        <v>0</v>
      </c>
      <c r="I59" s="219">
        <f>IF($B59&gt;AUXILIAR!$G$50,0,INDEX(INDICES!$C$11:$K$178,GAR2!$B59,7))</f>
        <v>0</v>
      </c>
      <c r="J59" s="219">
        <f>IF($B59&gt;AUXILIAR!$G$50,0,INDEX(INDICES!$C$11:$K$178,GAR2!$B59,8))</f>
        <v>0</v>
      </c>
      <c r="K59" s="219">
        <f>IF($B59&gt;AUXILIAR!$G$50,0,INDEX(INDICES!$C$11:$K$178,GAR2!$B59,9))</f>
        <v>0</v>
      </c>
      <c r="L59" s="220">
        <f>IF(B59&gt;AUXILIAR!$G$50,"",$C$16*C59/$D$22+$D$16*H59/$I$22+$E$16*D59/$E$22+$F$16*G59/$H$22+$G$16*K59/$L$22+$H$16*E59/$F$22+$I$16*F59/$G$22+$J$16*J59/$K$22+$K$16*I59/$J$22+$L$16)</f>
      </c>
      <c r="M59" s="221">
        <f>INDEX(AUXILIAR!I34:I242,GAR2!$B$27)</f>
        <v>36039</v>
      </c>
      <c r="N59" s="79"/>
      <c r="O59" s="79"/>
      <c r="P59" s="19"/>
    </row>
    <row r="60" spans="1:16" s="4" customFormat="1" ht="12.75">
      <c r="A60" s="218">
        <f aca="true" t="shared" si="2" ref="A60:A76">1+A59</f>
        <v>34</v>
      </c>
      <c r="B60" s="218">
        <f aca="true" t="shared" si="3" ref="B60:B76">B59+1</f>
        <v>34</v>
      </c>
      <c r="C60" s="219">
        <f>IF($B60&gt;AUXILIAR!$G$50,0,INDEX(INDICES!$C$11:$K$178,GAR2!$B60,1))</f>
        <v>0</v>
      </c>
      <c r="D60" s="219">
        <f>IF($B60&gt;AUXILIAR!$G$50,0,INDEX(INDICES!$C$11:$K$178,GAR2!$B60,2))</f>
        <v>0</v>
      </c>
      <c r="E60" s="219">
        <f>IF($B60&gt;AUXILIAR!$G$50,0,INDEX(INDICES!$C$11:$K$178,GAR2!$B60,3))</f>
        <v>0</v>
      </c>
      <c r="F60" s="219">
        <f>IF($B60&gt;AUXILIAR!$G$50,0,INDEX(INDICES!$C$11:$K$178,GAR2!$B60,4))</f>
        <v>0</v>
      </c>
      <c r="G60" s="219">
        <f>IF($B60&gt;AUXILIAR!$G$50,0,INDEX(INDICES!$C$11:$K$178,GAR2!$B60,5))</f>
        <v>0</v>
      </c>
      <c r="H60" s="219">
        <f>IF($B60&gt;AUXILIAR!$G$50,0,INDEX(INDICES!$C$11:$K$178,GAR2!$B60,6))</f>
        <v>0</v>
      </c>
      <c r="I60" s="219">
        <f>IF($B60&gt;AUXILIAR!$G$50,0,INDEX(INDICES!$C$11:$K$178,GAR2!$B60,7))</f>
        <v>0</v>
      </c>
      <c r="J60" s="219">
        <f>IF($B60&gt;AUXILIAR!$G$50,0,INDEX(INDICES!$C$11:$K$178,GAR2!$B60,8))</f>
        <v>0</v>
      </c>
      <c r="K60" s="219">
        <f>IF($B60&gt;AUXILIAR!$G$50,0,INDEX(INDICES!$C$11:$K$178,GAR2!$B60,9))</f>
        <v>0</v>
      </c>
      <c r="L60" s="220">
        <f>IF(B60&gt;AUXILIAR!$G$50,"",$C$16*C60/$D$22+$D$16*H60/$I$22+$E$16*D60/$E$22+$F$16*G60/$H$22+$G$16*K60/$L$22+$H$16*E60/$F$22+$I$16*F60/$G$22+$J$16*J60/$K$22+$K$16*I60/$J$22+$L$16)</f>
      </c>
      <c r="M60" s="221">
        <f>INDEX(AUXILIAR!I35:I243,GAR2!$B$27)</f>
        <v>36069</v>
      </c>
      <c r="N60" s="79"/>
      <c r="O60" s="79"/>
      <c r="P60" s="19"/>
    </row>
    <row r="61" spans="1:16" s="4" customFormat="1" ht="12.75">
      <c r="A61" s="218">
        <f t="shared" si="2"/>
        <v>35</v>
      </c>
      <c r="B61" s="218">
        <f t="shared" si="3"/>
        <v>35</v>
      </c>
      <c r="C61" s="219">
        <f>IF($B61&gt;AUXILIAR!$G$50,0,INDEX(INDICES!$C$11:$K$178,GAR2!$B61,1))</f>
        <v>0</v>
      </c>
      <c r="D61" s="219">
        <f>IF($B61&gt;AUXILIAR!$G$50,0,INDEX(INDICES!$C$11:$K$178,GAR2!$B61,2))</f>
        <v>0</v>
      </c>
      <c r="E61" s="219">
        <f>IF($B61&gt;AUXILIAR!$G$50,0,INDEX(INDICES!$C$11:$K$178,GAR2!$B61,3))</f>
        <v>0</v>
      </c>
      <c r="F61" s="219">
        <f>IF($B61&gt;AUXILIAR!$G$50,0,INDEX(INDICES!$C$11:$K$178,GAR2!$B61,4))</f>
        <v>0</v>
      </c>
      <c r="G61" s="219">
        <f>IF($B61&gt;AUXILIAR!$G$50,0,INDEX(INDICES!$C$11:$K$178,GAR2!$B61,5))</f>
        <v>0</v>
      </c>
      <c r="H61" s="219">
        <f>IF($B61&gt;AUXILIAR!$G$50,0,INDEX(INDICES!$C$11:$K$178,GAR2!$B61,6))</f>
        <v>0</v>
      </c>
      <c r="I61" s="219">
        <f>IF($B61&gt;AUXILIAR!$G$50,0,INDEX(INDICES!$C$11:$K$178,GAR2!$B61,7))</f>
        <v>0</v>
      </c>
      <c r="J61" s="219">
        <f>IF($B61&gt;AUXILIAR!$G$50,0,INDEX(INDICES!$C$11:$K$178,GAR2!$B61,8))</f>
        <v>0</v>
      </c>
      <c r="K61" s="219">
        <f>IF($B61&gt;AUXILIAR!$G$50,0,INDEX(INDICES!$C$11:$K$178,GAR2!$B61,9))</f>
        <v>0</v>
      </c>
      <c r="L61" s="220">
        <f>IF(B61&gt;AUXILIAR!$G$50,"",$C$16*C61/$D$22+$D$16*H61/$I$22+$E$16*D61/$E$22+$F$16*G61/$H$22+$G$16*K61/$L$22+$H$16*E61/$F$22+$I$16*F61/$G$22+$J$16*J61/$K$22+$K$16*I61/$J$22+$L$16)</f>
      </c>
      <c r="M61" s="221">
        <f>INDEX(AUXILIAR!I36:I244,GAR2!$B$27)</f>
        <v>36100</v>
      </c>
      <c r="N61" s="79"/>
      <c r="O61" s="79"/>
      <c r="P61" s="19"/>
    </row>
    <row r="62" spans="1:16" s="4" customFormat="1" ht="12.75">
      <c r="A62" s="218">
        <f t="shared" si="2"/>
        <v>36</v>
      </c>
      <c r="B62" s="218">
        <f t="shared" si="3"/>
        <v>36</v>
      </c>
      <c r="C62" s="219">
        <f>IF($B62&gt;AUXILIAR!$G$50,0,INDEX(INDICES!$C$11:$K$178,GAR2!$B62,1))</f>
        <v>0</v>
      </c>
      <c r="D62" s="219">
        <f>IF($B62&gt;AUXILIAR!$G$50,0,INDEX(INDICES!$C$11:$K$178,GAR2!$B62,2))</f>
        <v>0</v>
      </c>
      <c r="E62" s="219">
        <f>IF($B62&gt;AUXILIAR!$G$50,0,INDEX(INDICES!$C$11:$K$178,GAR2!$B62,3))</f>
        <v>0</v>
      </c>
      <c r="F62" s="219">
        <f>IF($B62&gt;AUXILIAR!$G$50,0,INDEX(INDICES!$C$11:$K$178,GAR2!$B62,4))</f>
        <v>0</v>
      </c>
      <c r="G62" s="219">
        <f>IF($B62&gt;AUXILIAR!$G$50,0,INDEX(INDICES!$C$11:$K$178,GAR2!$B62,5))</f>
        <v>0</v>
      </c>
      <c r="H62" s="219">
        <f>IF($B62&gt;AUXILIAR!$G$50,0,INDEX(INDICES!$C$11:$K$178,GAR2!$B62,6))</f>
        <v>0</v>
      </c>
      <c r="I62" s="219">
        <f>IF($B62&gt;AUXILIAR!$G$50,0,INDEX(INDICES!$C$11:$K$178,GAR2!$B62,7))</f>
        <v>0</v>
      </c>
      <c r="J62" s="219">
        <f>IF($B62&gt;AUXILIAR!$G$50,0,INDEX(INDICES!$C$11:$K$178,GAR2!$B62,8))</f>
        <v>0</v>
      </c>
      <c r="K62" s="219">
        <f>IF($B62&gt;AUXILIAR!$G$50,0,INDEX(INDICES!$C$11:$K$178,GAR2!$B62,9))</f>
        <v>0</v>
      </c>
      <c r="L62" s="220">
        <f>IF(B62&gt;AUXILIAR!$G$50,"",$C$16*C62/$D$22+$D$16*H62/$I$22+$E$16*D62/$E$22+$F$16*G62/$H$22+$G$16*K62/$L$22+$H$16*E62/$F$22+$I$16*F62/$G$22+$J$16*J62/$K$22+$K$16*I62/$J$22+$L$16)</f>
      </c>
      <c r="M62" s="221">
        <f>INDEX(AUXILIAR!I37:I245,GAR2!$B$27)</f>
        <v>36130</v>
      </c>
      <c r="N62" s="79"/>
      <c r="O62" s="79"/>
      <c r="P62" s="19"/>
    </row>
    <row r="63" spans="1:16" s="4" customFormat="1" ht="12.75">
      <c r="A63" s="218">
        <f t="shared" si="2"/>
        <v>37</v>
      </c>
      <c r="B63" s="218">
        <f t="shared" si="3"/>
        <v>37</v>
      </c>
      <c r="C63" s="219">
        <f>IF($B63&gt;AUXILIAR!$G$50,0,INDEX(INDICES!$C$11:$K$178,GAR2!$B63,1))</f>
        <v>0</v>
      </c>
      <c r="D63" s="219">
        <f>IF($B63&gt;AUXILIAR!$G$50,0,INDEX(INDICES!$C$11:$K$178,GAR2!$B63,2))</f>
        <v>0</v>
      </c>
      <c r="E63" s="219">
        <f>IF($B63&gt;AUXILIAR!$G$50,0,INDEX(INDICES!$C$11:$K$178,GAR2!$B63,3))</f>
        <v>0</v>
      </c>
      <c r="F63" s="219">
        <f>IF($B63&gt;AUXILIAR!$G$50,0,INDEX(INDICES!$C$11:$K$178,GAR2!$B63,4))</f>
        <v>0</v>
      </c>
      <c r="G63" s="219">
        <f>IF($B63&gt;AUXILIAR!$G$50,0,INDEX(INDICES!$C$11:$K$178,GAR2!$B63,5))</f>
        <v>0</v>
      </c>
      <c r="H63" s="219">
        <f>IF($B63&gt;AUXILIAR!$G$50,0,INDEX(INDICES!$C$11:$K$178,GAR2!$B63,6))</f>
        <v>0</v>
      </c>
      <c r="I63" s="219">
        <f>IF($B63&gt;AUXILIAR!$G$50,0,INDEX(INDICES!$C$11:$K$178,GAR2!$B63,7))</f>
        <v>0</v>
      </c>
      <c r="J63" s="219">
        <f>IF($B63&gt;AUXILIAR!$G$50,0,INDEX(INDICES!$C$11:$K$178,GAR2!$B63,8))</f>
        <v>0</v>
      </c>
      <c r="K63" s="219">
        <f>IF($B63&gt;AUXILIAR!$G$50,0,INDEX(INDICES!$C$11:$K$178,GAR2!$B63,9))</f>
        <v>0</v>
      </c>
      <c r="L63" s="220">
        <f>IF(B63&gt;AUXILIAR!$G$50,"",$C$16*C63/$D$22+$D$16*H63/$I$22+$E$16*D63/$E$22+$F$16*G63/$H$22+$G$16*K63/$L$22+$H$16*E63/$F$22+$I$16*F63/$G$22+$J$16*J63/$K$22+$K$16*I63/$J$22+$L$16)</f>
      </c>
      <c r="M63" s="221">
        <f>INDEX(AUXILIAR!I38:I246,GAR2!$B$27)</f>
        <v>36161</v>
      </c>
      <c r="N63" s="79"/>
      <c r="O63" s="79"/>
      <c r="P63" s="19"/>
    </row>
    <row r="64" spans="1:16" s="4" customFormat="1" ht="12.75">
      <c r="A64" s="218">
        <f t="shared" si="2"/>
        <v>38</v>
      </c>
      <c r="B64" s="218">
        <f t="shared" si="3"/>
        <v>38</v>
      </c>
      <c r="C64" s="219">
        <f>IF($B64&gt;AUXILIAR!$G$50,0,INDEX(INDICES!$C$11:$K$178,GAR2!$B64,1))</f>
        <v>0</v>
      </c>
      <c r="D64" s="219">
        <f>IF($B64&gt;AUXILIAR!$G$50,0,INDEX(INDICES!$C$11:$K$178,GAR2!$B64,2))</f>
        <v>0</v>
      </c>
      <c r="E64" s="219">
        <f>IF($B64&gt;AUXILIAR!$G$50,0,INDEX(INDICES!$C$11:$K$178,GAR2!$B64,3))</f>
        <v>0</v>
      </c>
      <c r="F64" s="219">
        <f>IF($B64&gt;AUXILIAR!$G$50,0,INDEX(INDICES!$C$11:$K$178,GAR2!$B64,4))</f>
        <v>0</v>
      </c>
      <c r="G64" s="219">
        <f>IF($B64&gt;AUXILIAR!$G$50,0,INDEX(INDICES!$C$11:$K$178,GAR2!$B64,5))</f>
        <v>0</v>
      </c>
      <c r="H64" s="219">
        <f>IF($B64&gt;AUXILIAR!$G$50,0,INDEX(INDICES!$C$11:$K$178,GAR2!$B64,6))</f>
        <v>0</v>
      </c>
      <c r="I64" s="219">
        <f>IF($B64&gt;AUXILIAR!$G$50,0,INDEX(INDICES!$C$11:$K$178,GAR2!$B64,7))</f>
        <v>0</v>
      </c>
      <c r="J64" s="219">
        <f>IF($B64&gt;AUXILIAR!$G$50,0,INDEX(INDICES!$C$11:$K$178,GAR2!$B64,8))</f>
        <v>0</v>
      </c>
      <c r="K64" s="219">
        <f>IF($B64&gt;AUXILIAR!$G$50,0,INDEX(INDICES!$C$11:$K$178,GAR2!$B64,9))</f>
        <v>0</v>
      </c>
      <c r="L64" s="220">
        <f>IF(B64&gt;AUXILIAR!$G$50,"",$C$16*C64/$D$22+$D$16*H64/$I$22+$E$16*D64/$E$22+$F$16*G64/$H$22+$G$16*K64/$L$22+$H$16*E64/$F$22+$I$16*F64/$G$22+$J$16*J64/$K$22+$K$16*I64/$J$22+$L$16)</f>
      </c>
      <c r="M64" s="221">
        <f>INDEX(AUXILIAR!I39:I247,GAR2!$B$27)</f>
        <v>36192</v>
      </c>
      <c r="N64" s="79"/>
      <c r="O64" s="79"/>
      <c r="P64" s="19"/>
    </row>
    <row r="65" spans="1:16" s="4" customFormat="1" ht="12.75">
      <c r="A65" s="218">
        <f t="shared" si="2"/>
        <v>39</v>
      </c>
      <c r="B65" s="218">
        <f t="shared" si="3"/>
        <v>39</v>
      </c>
      <c r="C65" s="219">
        <f>IF($B65&gt;AUXILIAR!$G$50,0,INDEX(INDICES!$C$11:$K$178,GAR2!$B65,1))</f>
        <v>0</v>
      </c>
      <c r="D65" s="219">
        <f>IF($B65&gt;AUXILIAR!$G$50,0,INDEX(INDICES!$C$11:$K$178,GAR2!$B65,2))</f>
        <v>0</v>
      </c>
      <c r="E65" s="219">
        <f>IF($B65&gt;AUXILIAR!$G$50,0,INDEX(INDICES!$C$11:$K$178,GAR2!$B65,3))</f>
        <v>0</v>
      </c>
      <c r="F65" s="219">
        <f>IF($B65&gt;AUXILIAR!$G$50,0,INDEX(INDICES!$C$11:$K$178,GAR2!$B65,4))</f>
        <v>0</v>
      </c>
      <c r="G65" s="219">
        <f>IF($B65&gt;AUXILIAR!$G$50,0,INDEX(INDICES!$C$11:$K$178,GAR2!$B65,5))</f>
        <v>0</v>
      </c>
      <c r="H65" s="219">
        <f>IF($B65&gt;AUXILIAR!$G$50,0,INDEX(INDICES!$C$11:$K$178,GAR2!$B65,6))</f>
        <v>0</v>
      </c>
      <c r="I65" s="219">
        <f>IF($B65&gt;AUXILIAR!$G$50,0,INDEX(INDICES!$C$11:$K$178,GAR2!$B65,7))</f>
        <v>0</v>
      </c>
      <c r="J65" s="219">
        <f>IF($B65&gt;AUXILIAR!$G$50,0,INDEX(INDICES!$C$11:$K$178,GAR2!$B65,8))</f>
        <v>0</v>
      </c>
      <c r="K65" s="219">
        <f>IF($B65&gt;AUXILIAR!$G$50,0,INDEX(INDICES!$C$11:$K$178,GAR2!$B65,9))</f>
        <v>0</v>
      </c>
      <c r="L65" s="220">
        <f>IF(B65&gt;AUXILIAR!$G$50,"",$C$16*C65/$D$22+$D$16*H65/$I$22+$E$16*D65/$E$22+$F$16*G65/$H$22+$G$16*K65/$L$22+$H$16*E65/$F$22+$I$16*F65/$G$22+$J$16*J65/$K$22+$K$16*I65/$J$22+$L$16)</f>
      </c>
      <c r="M65" s="221">
        <f>INDEX(AUXILIAR!I40:I248,GAR2!$B$27)</f>
        <v>36220</v>
      </c>
      <c r="N65" s="79"/>
      <c r="O65" s="79"/>
      <c r="P65" s="19"/>
    </row>
    <row r="66" spans="1:16" s="4" customFormat="1" ht="12.75">
      <c r="A66" s="218">
        <f t="shared" si="2"/>
        <v>40</v>
      </c>
      <c r="B66" s="218">
        <f t="shared" si="3"/>
        <v>40</v>
      </c>
      <c r="C66" s="219">
        <f>IF($B66&gt;AUXILIAR!$G$50,0,INDEX(INDICES!$C$11:$K$178,GAR2!$B66,1))</f>
        <v>0</v>
      </c>
      <c r="D66" s="219">
        <f>IF($B66&gt;AUXILIAR!$G$50,0,INDEX(INDICES!$C$11:$K$178,GAR2!$B66,2))</f>
        <v>0</v>
      </c>
      <c r="E66" s="219">
        <f>IF($B66&gt;AUXILIAR!$G$50,0,INDEX(INDICES!$C$11:$K$178,GAR2!$B66,3))</f>
        <v>0</v>
      </c>
      <c r="F66" s="219">
        <f>IF($B66&gt;AUXILIAR!$G$50,0,INDEX(INDICES!$C$11:$K$178,GAR2!$B66,4))</f>
        <v>0</v>
      </c>
      <c r="G66" s="219">
        <f>IF($B66&gt;AUXILIAR!$G$50,0,INDEX(INDICES!$C$11:$K$178,GAR2!$B66,5))</f>
        <v>0</v>
      </c>
      <c r="H66" s="219">
        <f>IF($B66&gt;AUXILIAR!$G$50,0,INDEX(INDICES!$C$11:$K$178,GAR2!$B66,6))</f>
        <v>0</v>
      </c>
      <c r="I66" s="219">
        <f>IF($B66&gt;AUXILIAR!$G$50,0,INDEX(INDICES!$C$11:$K$178,GAR2!$B66,7))</f>
        <v>0</v>
      </c>
      <c r="J66" s="219">
        <f>IF($B66&gt;AUXILIAR!$G$50,0,INDEX(INDICES!$C$11:$K$178,GAR2!$B66,8))</f>
        <v>0</v>
      </c>
      <c r="K66" s="219">
        <f>IF($B66&gt;AUXILIAR!$G$50,0,INDEX(INDICES!$C$11:$K$178,GAR2!$B66,9))</f>
        <v>0</v>
      </c>
      <c r="L66" s="220">
        <f>IF(B66&gt;AUXILIAR!$G$50,"",$C$16*C66/$D$22+$D$16*H66/$I$22+$E$16*D66/$E$22+$F$16*G66/$H$22+$G$16*K66/$L$22+$H$16*E66/$F$22+$I$16*F66/$G$22+$J$16*J66/$K$22+$K$16*I66/$J$22+$L$16)</f>
      </c>
      <c r="M66" s="221">
        <f>INDEX(AUXILIAR!I41:I249,GAR2!$B$27)</f>
        <v>36251</v>
      </c>
      <c r="N66" s="79"/>
      <c r="O66" s="79"/>
      <c r="P66" s="19"/>
    </row>
    <row r="67" spans="1:16" s="4" customFormat="1" ht="12.75">
      <c r="A67" s="218">
        <f t="shared" si="2"/>
        <v>41</v>
      </c>
      <c r="B67" s="218">
        <f t="shared" si="3"/>
        <v>41</v>
      </c>
      <c r="C67" s="219">
        <f>IF($B67&gt;AUXILIAR!$G$50,0,INDEX(INDICES!$C$11:$K$178,GAR2!$B67,1))</f>
        <v>0</v>
      </c>
      <c r="D67" s="219">
        <f>IF($B67&gt;AUXILIAR!$G$50,0,INDEX(INDICES!$C$11:$K$178,GAR2!$B67,2))</f>
        <v>0</v>
      </c>
      <c r="E67" s="219">
        <f>IF($B67&gt;AUXILIAR!$G$50,0,INDEX(INDICES!$C$11:$K$178,GAR2!$B67,3))</f>
        <v>0</v>
      </c>
      <c r="F67" s="219">
        <f>IF($B67&gt;AUXILIAR!$G$50,0,INDEX(INDICES!$C$11:$K$178,GAR2!$B67,4))</f>
        <v>0</v>
      </c>
      <c r="G67" s="219">
        <f>IF($B67&gt;AUXILIAR!$G$50,0,INDEX(INDICES!$C$11:$K$178,GAR2!$B67,5))</f>
        <v>0</v>
      </c>
      <c r="H67" s="219">
        <f>IF($B67&gt;AUXILIAR!$G$50,0,INDEX(INDICES!$C$11:$K$178,GAR2!$B67,6))</f>
        <v>0</v>
      </c>
      <c r="I67" s="219">
        <f>IF($B67&gt;AUXILIAR!$G$50,0,INDEX(INDICES!$C$11:$K$178,GAR2!$B67,7))</f>
        <v>0</v>
      </c>
      <c r="J67" s="219">
        <f>IF($B67&gt;AUXILIAR!$G$50,0,INDEX(INDICES!$C$11:$K$178,GAR2!$B67,8))</f>
        <v>0</v>
      </c>
      <c r="K67" s="219">
        <f>IF($B67&gt;AUXILIAR!$G$50,0,INDEX(INDICES!$C$11:$K$178,GAR2!$B67,9))</f>
        <v>0</v>
      </c>
      <c r="L67" s="220">
        <f>IF(B67&gt;AUXILIAR!$G$50,"",$C$16*C67/$D$22+$D$16*H67/$I$22+$E$16*D67/$E$22+$F$16*G67/$H$22+$G$16*K67/$L$22+$H$16*E67/$F$22+$I$16*F67/$G$22+$J$16*J67/$K$22+$K$16*I67/$J$22+$L$16)</f>
      </c>
      <c r="M67" s="221">
        <f>INDEX(AUXILIAR!I42:I250,GAR2!$B$27)</f>
        <v>36281</v>
      </c>
      <c r="N67" s="79"/>
      <c r="O67" s="79"/>
      <c r="P67" s="19"/>
    </row>
    <row r="68" spans="1:16" s="4" customFormat="1" ht="12.75">
      <c r="A68" s="218">
        <f t="shared" si="2"/>
        <v>42</v>
      </c>
      <c r="B68" s="218">
        <f t="shared" si="3"/>
        <v>42</v>
      </c>
      <c r="C68" s="219">
        <f>IF($B68&gt;AUXILIAR!$G$50,0,INDEX(INDICES!$C$11:$K$178,GAR2!$B68,1))</f>
        <v>0</v>
      </c>
      <c r="D68" s="219">
        <f>IF($B68&gt;AUXILIAR!$G$50,0,INDEX(INDICES!$C$11:$K$178,GAR2!$B68,2))</f>
        <v>0</v>
      </c>
      <c r="E68" s="219">
        <f>IF($B68&gt;AUXILIAR!$G$50,0,INDEX(INDICES!$C$11:$K$178,GAR2!$B68,3))</f>
        <v>0</v>
      </c>
      <c r="F68" s="219">
        <f>IF($B68&gt;AUXILIAR!$G$50,0,INDEX(INDICES!$C$11:$K$178,GAR2!$B68,4))</f>
        <v>0</v>
      </c>
      <c r="G68" s="219">
        <f>IF($B68&gt;AUXILIAR!$G$50,0,INDEX(INDICES!$C$11:$K$178,GAR2!$B68,5))</f>
        <v>0</v>
      </c>
      <c r="H68" s="219">
        <f>IF($B68&gt;AUXILIAR!$G$50,0,INDEX(INDICES!$C$11:$K$178,GAR2!$B68,6))</f>
        <v>0</v>
      </c>
      <c r="I68" s="219">
        <f>IF($B68&gt;AUXILIAR!$G$50,0,INDEX(INDICES!$C$11:$K$178,GAR2!$B68,7))</f>
        <v>0</v>
      </c>
      <c r="J68" s="219">
        <f>IF($B68&gt;AUXILIAR!$G$50,0,INDEX(INDICES!$C$11:$K$178,GAR2!$B68,8))</f>
        <v>0</v>
      </c>
      <c r="K68" s="219">
        <f>IF($B68&gt;AUXILIAR!$G$50,0,INDEX(INDICES!$C$11:$K$178,GAR2!$B68,9))</f>
        <v>0</v>
      </c>
      <c r="L68" s="220">
        <f>IF(B68&gt;AUXILIAR!$G$50,"",$C$16*C68/$D$22+$D$16*H68/$I$22+$E$16*D68/$E$22+$F$16*G68/$H$22+$G$16*K68/$L$22+$H$16*E68/$F$22+$I$16*F68/$G$22+$J$16*J68/$K$22+$K$16*I68/$J$22+$L$16)</f>
      </c>
      <c r="M68" s="221">
        <f>INDEX(AUXILIAR!I43:I251,GAR2!$B$27)</f>
        <v>36312</v>
      </c>
      <c r="N68" s="79"/>
      <c r="O68" s="79"/>
      <c r="P68" s="19"/>
    </row>
    <row r="69" spans="1:16" s="4" customFormat="1" ht="12.75">
      <c r="A69" s="218">
        <f t="shared" si="2"/>
        <v>43</v>
      </c>
      <c r="B69" s="218">
        <f t="shared" si="3"/>
        <v>43</v>
      </c>
      <c r="C69" s="219">
        <f>IF($B69&gt;AUXILIAR!$G$50,0,INDEX(INDICES!$C$11:$K$178,GAR2!$B69,1))</f>
        <v>0</v>
      </c>
      <c r="D69" s="219">
        <f>IF($B69&gt;AUXILIAR!$G$50,0,INDEX(INDICES!$C$11:$K$178,GAR2!$B69,2))</f>
        <v>0</v>
      </c>
      <c r="E69" s="219">
        <f>IF($B69&gt;AUXILIAR!$G$50,0,INDEX(INDICES!$C$11:$K$178,GAR2!$B69,3))</f>
        <v>0</v>
      </c>
      <c r="F69" s="219">
        <f>IF($B69&gt;AUXILIAR!$G$50,0,INDEX(INDICES!$C$11:$K$178,GAR2!$B69,4))</f>
        <v>0</v>
      </c>
      <c r="G69" s="219">
        <f>IF($B69&gt;AUXILIAR!$G$50,0,INDEX(INDICES!$C$11:$K$178,GAR2!$B69,5))</f>
        <v>0</v>
      </c>
      <c r="H69" s="219">
        <f>IF($B69&gt;AUXILIAR!$G$50,0,INDEX(INDICES!$C$11:$K$178,GAR2!$B69,6))</f>
        <v>0</v>
      </c>
      <c r="I69" s="219">
        <f>IF($B69&gt;AUXILIAR!$G$50,0,INDEX(INDICES!$C$11:$K$178,GAR2!$B69,7))</f>
        <v>0</v>
      </c>
      <c r="J69" s="219">
        <f>IF($B69&gt;AUXILIAR!$G$50,0,INDEX(INDICES!$C$11:$K$178,GAR2!$B69,8))</f>
        <v>0</v>
      </c>
      <c r="K69" s="219">
        <f>IF($B69&gt;AUXILIAR!$G$50,0,INDEX(INDICES!$C$11:$K$178,GAR2!$B69,9))</f>
        <v>0</v>
      </c>
      <c r="L69" s="220">
        <f>IF(B69&gt;AUXILIAR!$G$50,"",$C$16*C69/$D$22+$D$16*H69/$I$22+$E$16*D69/$E$22+$F$16*G69/$H$22+$G$16*K69/$L$22+$H$16*E69/$F$22+$I$16*F69/$G$22+$J$16*J69/$K$22+$K$16*I69/$J$22+$L$16)</f>
      </c>
      <c r="M69" s="221">
        <f>INDEX(AUXILIAR!I44:I252,GAR2!$B$27)</f>
        <v>36342</v>
      </c>
      <c r="N69" s="79"/>
      <c r="O69" s="79"/>
      <c r="P69" s="19"/>
    </row>
    <row r="70" spans="1:16" s="4" customFormat="1" ht="12.75">
      <c r="A70" s="218">
        <f t="shared" si="2"/>
        <v>44</v>
      </c>
      <c r="B70" s="218">
        <f t="shared" si="3"/>
        <v>44</v>
      </c>
      <c r="C70" s="219">
        <f>IF($B70&gt;AUXILIAR!$G$50,0,INDEX(INDICES!$C$11:$K$178,GAR2!$B70,1))</f>
        <v>0</v>
      </c>
      <c r="D70" s="219">
        <f>IF($B70&gt;AUXILIAR!$G$50,0,INDEX(INDICES!$C$11:$K$178,GAR2!$B70,2))</f>
        <v>0</v>
      </c>
      <c r="E70" s="219">
        <f>IF($B70&gt;AUXILIAR!$G$50,0,INDEX(INDICES!$C$11:$K$178,GAR2!$B70,3))</f>
        <v>0</v>
      </c>
      <c r="F70" s="219">
        <f>IF($B70&gt;AUXILIAR!$G$50,0,INDEX(INDICES!$C$11:$K$178,GAR2!$B70,4))</f>
        <v>0</v>
      </c>
      <c r="G70" s="219">
        <f>IF($B70&gt;AUXILIAR!$G$50,0,INDEX(INDICES!$C$11:$K$178,GAR2!$B70,5))</f>
        <v>0</v>
      </c>
      <c r="H70" s="219">
        <f>IF($B70&gt;AUXILIAR!$G$50,0,INDEX(INDICES!$C$11:$K$178,GAR2!$B70,6))</f>
        <v>0</v>
      </c>
      <c r="I70" s="219">
        <f>IF($B70&gt;AUXILIAR!$G$50,0,INDEX(INDICES!$C$11:$K$178,GAR2!$B70,7))</f>
        <v>0</v>
      </c>
      <c r="J70" s="219">
        <f>IF($B70&gt;AUXILIAR!$G$50,0,INDEX(INDICES!$C$11:$K$178,GAR2!$B70,8))</f>
        <v>0</v>
      </c>
      <c r="K70" s="219">
        <f>IF($B70&gt;AUXILIAR!$G$50,0,INDEX(INDICES!$C$11:$K$178,GAR2!$B70,9))</f>
        <v>0</v>
      </c>
      <c r="L70" s="220">
        <f>IF(B70&gt;AUXILIAR!$G$50,"",$C$16*C70/$D$22+$D$16*H70/$I$22+$E$16*D70/$E$22+$F$16*G70/$H$22+$G$16*K70/$L$22+$H$16*E70/$F$22+$I$16*F70/$G$22+$J$16*J70/$K$22+$K$16*I70/$J$22+$L$16)</f>
      </c>
      <c r="M70" s="221">
        <f>INDEX(AUXILIAR!I45:I253,GAR2!$B$27)</f>
        <v>36373</v>
      </c>
      <c r="N70" s="79"/>
      <c r="O70" s="79"/>
      <c r="P70" s="19"/>
    </row>
    <row r="71" spans="1:16" s="4" customFormat="1" ht="12.75">
      <c r="A71" s="218">
        <f t="shared" si="2"/>
        <v>45</v>
      </c>
      <c r="B71" s="218">
        <f t="shared" si="3"/>
        <v>45</v>
      </c>
      <c r="C71" s="219">
        <f>IF($B71&gt;AUXILIAR!$G$50,0,INDEX(INDICES!$C$11:$K$178,GAR2!$B71,1))</f>
        <v>0</v>
      </c>
      <c r="D71" s="219">
        <f>IF($B71&gt;AUXILIAR!$G$50,0,INDEX(INDICES!$C$11:$K$178,GAR2!$B71,2))</f>
        <v>0</v>
      </c>
      <c r="E71" s="219">
        <f>IF($B71&gt;AUXILIAR!$G$50,0,INDEX(INDICES!$C$11:$K$178,GAR2!$B71,3))</f>
        <v>0</v>
      </c>
      <c r="F71" s="219">
        <f>IF($B71&gt;AUXILIAR!$G$50,0,INDEX(INDICES!$C$11:$K$178,GAR2!$B71,4))</f>
        <v>0</v>
      </c>
      <c r="G71" s="219">
        <f>IF($B71&gt;AUXILIAR!$G$50,0,INDEX(INDICES!$C$11:$K$178,GAR2!$B71,5))</f>
        <v>0</v>
      </c>
      <c r="H71" s="219">
        <f>IF($B71&gt;AUXILIAR!$G$50,0,INDEX(INDICES!$C$11:$K$178,GAR2!$B71,6))</f>
        <v>0</v>
      </c>
      <c r="I71" s="219">
        <f>IF($B71&gt;AUXILIAR!$G$50,0,INDEX(INDICES!$C$11:$K$178,GAR2!$B71,7))</f>
        <v>0</v>
      </c>
      <c r="J71" s="219">
        <f>IF($B71&gt;AUXILIAR!$G$50,0,INDEX(INDICES!$C$11:$K$178,GAR2!$B71,8))</f>
        <v>0</v>
      </c>
      <c r="K71" s="219">
        <f>IF($B71&gt;AUXILIAR!$G$50,0,INDEX(INDICES!$C$11:$K$178,GAR2!$B71,9))</f>
        <v>0</v>
      </c>
      <c r="L71" s="220">
        <f>IF(B71&gt;AUXILIAR!$G$50,"",$C$16*C71/$D$22+$D$16*H71/$I$22+$E$16*D71/$E$22+$F$16*G71/$H$22+$G$16*K71/$L$22+$H$16*E71/$F$22+$I$16*F71/$G$22+$J$16*J71/$K$22+$K$16*I71/$J$22+$L$16)</f>
      </c>
      <c r="M71" s="221">
        <f>INDEX(AUXILIAR!I46:I254,GAR2!$B$27)</f>
        <v>36404</v>
      </c>
      <c r="N71" s="79"/>
      <c r="O71" s="79"/>
      <c r="P71" s="19"/>
    </row>
    <row r="72" spans="1:16" s="4" customFormat="1" ht="12.75">
      <c r="A72" s="218">
        <f t="shared" si="2"/>
        <v>46</v>
      </c>
      <c r="B72" s="218">
        <f t="shared" si="3"/>
        <v>46</v>
      </c>
      <c r="C72" s="219">
        <f>IF($B72&gt;AUXILIAR!$G$50,0,INDEX(INDICES!$C$11:$K$178,GAR2!$B72,1))</f>
        <v>0</v>
      </c>
      <c r="D72" s="219">
        <f>IF($B72&gt;AUXILIAR!$G$50,0,INDEX(INDICES!$C$11:$K$178,GAR2!$B72,2))</f>
        <v>0</v>
      </c>
      <c r="E72" s="219">
        <f>IF($B72&gt;AUXILIAR!$G$50,0,INDEX(INDICES!$C$11:$K$178,GAR2!$B72,3))</f>
        <v>0</v>
      </c>
      <c r="F72" s="219">
        <f>IF($B72&gt;AUXILIAR!$G$50,0,INDEX(INDICES!$C$11:$K$178,GAR2!$B72,4))</f>
        <v>0</v>
      </c>
      <c r="G72" s="219">
        <f>IF($B72&gt;AUXILIAR!$G$50,0,INDEX(INDICES!$C$11:$K$178,GAR2!$B72,5))</f>
        <v>0</v>
      </c>
      <c r="H72" s="219">
        <f>IF($B72&gt;AUXILIAR!$G$50,0,INDEX(INDICES!$C$11:$K$178,GAR2!$B72,6))</f>
        <v>0</v>
      </c>
      <c r="I72" s="219">
        <f>IF($B72&gt;AUXILIAR!$G$50,0,INDEX(INDICES!$C$11:$K$178,GAR2!$B72,7))</f>
        <v>0</v>
      </c>
      <c r="J72" s="219">
        <f>IF($B72&gt;AUXILIAR!$G$50,0,INDEX(INDICES!$C$11:$K$178,GAR2!$B72,8))</f>
        <v>0</v>
      </c>
      <c r="K72" s="219">
        <f>IF($B72&gt;AUXILIAR!$G$50,0,INDEX(INDICES!$C$11:$K$178,GAR2!$B72,9))</f>
        <v>0</v>
      </c>
      <c r="L72" s="220">
        <f>IF(B72&gt;AUXILIAR!$G$50,"",$C$16*C72/$D$22+$D$16*H72/$I$22+$E$16*D72/$E$22+$F$16*G72/$H$22+$G$16*K72/$L$22+$H$16*E72/$F$22+$I$16*F72/$G$22+$J$16*J72/$K$22+$K$16*I72/$J$22+$L$16)</f>
      </c>
      <c r="M72" s="221">
        <f>INDEX(AUXILIAR!I47:I255,GAR2!$B$27)</f>
        <v>36434</v>
      </c>
      <c r="N72" s="79"/>
      <c r="O72" s="79"/>
      <c r="P72" s="19"/>
    </row>
    <row r="73" spans="1:16" s="4" customFormat="1" ht="12.75">
      <c r="A73" s="218">
        <f t="shared" si="2"/>
        <v>47</v>
      </c>
      <c r="B73" s="218">
        <f t="shared" si="3"/>
        <v>47</v>
      </c>
      <c r="C73" s="219">
        <f>IF($B73&gt;AUXILIAR!$G$50,0,INDEX(INDICES!$C$11:$K$178,GAR2!$B73,1))</f>
        <v>0</v>
      </c>
      <c r="D73" s="219">
        <f>IF($B73&gt;AUXILIAR!$G$50,0,INDEX(INDICES!$C$11:$K$178,GAR2!$B73,2))</f>
        <v>0</v>
      </c>
      <c r="E73" s="219">
        <f>IF($B73&gt;AUXILIAR!$G$50,0,INDEX(INDICES!$C$11:$K$178,GAR2!$B73,3))</f>
        <v>0</v>
      </c>
      <c r="F73" s="219">
        <f>IF($B73&gt;AUXILIAR!$G$50,0,INDEX(INDICES!$C$11:$K$178,GAR2!$B73,4))</f>
        <v>0</v>
      </c>
      <c r="G73" s="219">
        <f>IF($B73&gt;AUXILIAR!$G$50,0,INDEX(INDICES!$C$11:$K$178,GAR2!$B73,5))</f>
        <v>0</v>
      </c>
      <c r="H73" s="219">
        <f>IF($B73&gt;AUXILIAR!$G$50,0,INDEX(INDICES!$C$11:$K$178,GAR2!$B73,6))</f>
        <v>0</v>
      </c>
      <c r="I73" s="219">
        <f>IF($B73&gt;AUXILIAR!$G$50,0,INDEX(INDICES!$C$11:$K$178,GAR2!$B73,7))</f>
        <v>0</v>
      </c>
      <c r="J73" s="219">
        <f>IF($B73&gt;AUXILIAR!$G$50,0,INDEX(INDICES!$C$11:$K$178,GAR2!$B73,8))</f>
        <v>0</v>
      </c>
      <c r="K73" s="219">
        <f>IF($B73&gt;AUXILIAR!$G$50,0,INDEX(INDICES!$C$11:$K$178,GAR2!$B73,9))</f>
        <v>0</v>
      </c>
      <c r="L73" s="220">
        <f>IF(B73&gt;AUXILIAR!$G$50,"",$C$16*C73/$D$22+$D$16*H73/$I$22+$E$16*D73/$E$22+$F$16*G73/$H$22+$G$16*K73/$L$22+$H$16*E73/$F$22+$I$16*F73/$G$22+$J$16*J73/$K$22+$K$16*I73/$J$22+$L$16)</f>
      </c>
      <c r="M73" s="221">
        <f>INDEX(AUXILIAR!I48:I256,GAR2!$B$27)</f>
        <v>36465</v>
      </c>
      <c r="N73" s="79"/>
      <c r="O73" s="79"/>
      <c r="P73" s="19"/>
    </row>
    <row r="74" spans="1:16" s="4" customFormat="1" ht="12.75">
      <c r="A74" s="218">
        <f t="shared" si="2"/>
        <v>48</v>
      </c>
      <c r="B74" s="218">
        <f t="shared" si="3"/>
        <v>48</v>
      </c>
      <c r="C74" s="219">
        <f>IF($B74&gt;AUXILIAR!$G$50,0,INDEX(INDICES!$C$11:$K$178,GAR2!$B74,1))</f>
        <v>0</v>
      </c>
      <c r="D74" s="219">
        <f>IF($B74&gt;AUXILIAR!$G$50,0,INDEX(INDICES!$C$11:$K$178,GAR2!$B74,2))</f>
        <v>0</v>
      </c>
      <c r="E74" s="219">
        <f>IF($B74&gt;AUXILIAR!$G$50,0,INDEX(INDICES!$C$11:$K$178,GAR2!$B74,3))</f>
        <v>0</v>
      </c>
      <c r="F74" s="219">
        <f>IF($B74&gt;AUXILIAR!$G$50,0,INDEX(INDICES!$C$11:$K$178,GAR2!$B74,4))</f>
        <v>0</v>
      </c>
      <c r="G74" s="219">
        <f>IF($B74&gt;AUXILIAR!$G$50,0,INDEX(INDICES!$C$11:$K$178,GAR2!$B74,5))</f>
        <v>0</v>
      </c>
      <c r="H74" s="219">
        <f>IF($B74&gt;AUXILIAR!$G$50,0,INDEX(INDICES!$C$11:$K$178,GAR2!$B74,6))</f>
        <v>0</v>
      </c>
      <c r="I74" s="219">
        <f>IF($B74&gt;AUXILIAR!$G$50,0,INDEX(INDICES!$C$11:$K$178,GAR2!$B74,7))</f>
        <v>0</v>
      </c>
      <c r="J74" s="219">
        <f>IF($B74&gt;AUXILIAR!$G$50,0,INDEX(INDICES!$C$11:$K$178,GAR2!$B74,8))</f>
        <v>0</v>
      </c>
      <c r="K74" s="219">
        <f>IF($B74&gt;AUXILIAR!$G$50,0,INDEX(INDICES!$C$11:$K$178,GAR2!$B74,9))</f>
        <v>0</v>
      </c>
      <c r="L74" s="220">
        <f>IF(B74&gt;AUXILIAR!$G$50,"",$C$16*C74/$D$22+$D$16*H74/$I$22+$E$16*D74/$E$22+$F$16*G74/$H$22+$G$16*K74/$L$22+$H$16*E74/$F$22+$I$16*F74/$G$22+$J$16*J74/$K$22+$K$16*I74/$J$22+$L$16)</f>
      </c>
      <c r="M74" s="221">
        <f>INDEX(AUXILIAR!I49:I257,GAR2!$B$27)</f>
        <v>36495</v>
      </c>
      <c r="N74" s="79"/>
      <c r="O74" s="79"/>
      <c r="P74" s="19"/>
    </row>
    <row r="75" spans="1:16" s="4" customFormat="1" ht="12.75">
      <c r="A75" s="218">
        <f t="shared" si="2"/>
        <v>49</v>
      </c>
      <c r="B75" s="218">
        <f t="shared" si="3"/>
        <v>49</v>
      </c>
      <c r="C75" s="219">
        <f>IF($B75&gt;AUXILIAR!$G$50,0,INDEX(INDICES!$C$11:$K$178,GAR2!$B75,1))</f>
        <v>0</v>
      </c>
      <c r="D75" s="219">
        <f>IF($B75&gt;AUXILIAR!$G$50,0,INDEX(INDICES!$C$11:$K$178,GAR2!$B75,2))</f>
        <v>0</v>
      </c>
      <c r="E75" s="219">
        <f>IF($B75&gt;AUXILIAR!$G$50,0,INDEX(INDICES!$C$11:$K$178,GAR2!$B75,3))</f>
        <v>0</v>
      </c>
      <c r="F75" s="219">
        <f>IF($B75&gt;AUXILIAR!$G$50,0,INDEX(INDICES!$C$11:$K$178,GAR2!$B75,4))</f>
        <v>0</v>
      </c>
      <c r="G75" s="219">
        <f>IF($B75&gt;AUXILIAR!$G$50,0,INDEX(INDICES!$C$11:$K$178,GAR2!$B75,5))</f>
        <v>0</v>
      </c>
      <c r="H75" s="219">
        <f>IF($B75&gt;AUXILIAR!$G$50,0,INDEX(INDICES!$C$11:$K$178,GAR2!$B75,6))</f>
        <v>0</v>
      </c>
      <c r="I75" s="219">
        <f>IF($B75&gt;AUXILIAR!$G$50,0,INDEX(INDICES!$C$11:$K$178,GAR2!$B75,7))</f>
        <v>0</v>
      </c>
      <c r="J75" s="219">
        <f>IF($B75&gt;AUXILIAR!$G$50,0,INDEX(INDICES!$C$11:$K$178,GAR2!$B75,8))</f>
        <v>0</v>
      </c>
      <c r="K75" s="219">
        <f>IF($B75&gt;AUXILIAR!$G$50,0,INDEX(INDICES!$C$11:$K$178,GAR2!$B75,9))</f>
        <v>0</v>
      </c>
      <c r="L75" s="220">
        <f>IF(B75&gt;AUXILIAR!$G$50,"",$C$16*C75/$D$22+$D$16*H75/$I$22+$E$16*D75/$E$22+$F$16*G75/$H$22+$G$16*K75/$L$22+$H$16*E75/$F$22+$I$16*F75/$G$22+$J$16*J75/$K$22+$K$16*I75/$J$22+$L$16)</f>
      </c>
      <c r="M75" s="221">
        <f>INDEX(AUXILIAR!I50:I258,GAR2!$B$27)</f>
        <v>36526</v>
      </c>
      <c r="N75" s="79"/>
      <c r="O75" s="79"/>
      <c r="P75" s="19"/>
    </row>
    <row r="76" spans="1:16" s="4" customFormat="1" ht="12.75">
      <c r="A76" s="218">
        <f t="shared" si="2"/>
        <v>50</v>
      </c>
      <c r="B76" s="218">
        <f t="shared" si="3"/>
        <v>50</v>
      </c>
      <c r="C76" s="219">
        <f>IF($B76&gt;AUXILIAR!$A$39,0,INDEX(INDICES!$C$11:$K$178,GAR2!$B76,1))</f>
        <v>288.55</v>
      </c>
      <c r="D76" s="219">
        <f>IF($B76&gt;AUXILIAR!$A$39,0,INDEX(INDICES!$C$11:$K$178,GAR2!$B76,2))</f>
        <v>1259.4</v>
      </c>
      <c r="E76" s="219">
        <f>IF($B76&gt;AUXILIAR!$A$39,0,INDEX(INDICES!$C$11:$K$178,GAR2!$B76,3))</f>
        <v>1238.1</v>
      </c>
      <c r="F76" s="219">
        <f>IF($B76&gt;AUXILIAR!$A$39,0,INDEX(INDICES!$C$11:$K$178,GAR2!$B76,4))</f>
        <v>1458.9</v>
      </c>
      <c r="G76" s="219">
        <f>IF($B76&gt;AUXILIAR!$A$39,0,INDEX(INDICES!$C$11:$K$178,GAR2!$B76,5))</f>
        <v>686.7</v>
      </c>
      <c r="H76" s="219">
        <f>IF($B76&gt;AUXILIAR!$A$39,0,INDEX(INDICES!$C$11:$K$178,GAR2!$B76,6))</f>
        <v>1826.6</v>
      </c>
      <c r="I76" s="219">
        <f>IF($B76&gt;AUXILIAR!$A$39,0,INDEX(INDICES!$C$11:$K$178,GAR2!$B76,7))</f>
        <v>657.3</v>
      </c>
      <c r="J76" s="219">
        <f>IF($B76&gt;AUXILIAR!$A$39,0,INDEX(INDICES!$C$11:$K$178,GAR2!$B76,8))</f>
        <v>756.1</v>
      </c>
      <c r="K76" s="219">
        <f>IF($B76&gt;AUXILIAR!$A$39,0,INDEX(INDICES!$C$11:$K$178,GAR2!$B76,9))</f>
        <v>1339.8</v>
      </c>
      <c r="L76" s="220">
        <f>IF(B76&gt;AUXILIAR!$G$50,"",$C$16*C76/$D$22+$D$16*H76/$I$22+$E$16*D76/$E$22+$F$16*G76/$H$22+$G$16*K76/$L$22+$H$16*E76/$F$22+$I$16*F76/$G$22+$J$16*J76/$K$22+$K$16*I76/$J$22+$L$16)</f>
      </c>
      <c r="M76" s="221">
        <f>INDEX(AUXILIAR!I51:I259,GAR2!$B$27)</f>
        <v>36557</v>
      </c>
      <c r="N76" s="79"/>
      <c r="O76" s="79"/>
      <c r="P76" s="19"/>
    </row>
    <row r="77" spans="1:16" s="4" customFormat="1" ht="12.75">
      <c r="A77" s="80"/>
      <c r="B77" s="82"/>
      <c r="C77" s="81"/>
      <c r="D77" s="81"/>
      <c r="E77" s="81"/>
      <c r="F77" s="81"/>
      <c r="G77" s="81"/>
      <c r="H77" s="81"/>
      <c r="I77" s="81"/>
      <c r="J77" s="81"/>
      <c r="K77" s="81"/>
      <c r="L77" s="83"/>
      <c r="M77" s="84"/>
      <c r="N77" s="79"/>
      <c r="O77" s="79"/>
      <c r="P77" s="19"/>
    </row>
    <row r="78" spans="1:26" s="4" customFormat="1" ht="17.25">
      <c r="A78" s="75"/>
      <c r="B78" s="214" t="str">
        <f>IF(AUXILIAR!D11=1,"ESTOS COEFICIENTES NO SON APLICABLES PARA EL CASO DE UNA SOLA FÓRMULA DE REVISIÓN",CONCATENATE("COEFICIENTES KT CORRESPONDIENTES A LAS CERTIFICACIONES REVISABLES CON LA FÓRMULA TIPO Nº ",B19))</f>
        <v>ESTOS COEFICIENTES NO SON APLICABLES PARA EL CASO DE UNA SOLA FÓRMULA DE REVISIÓN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5"/>
      <c r="O78" s="75"/>
      <c r="P78" s="1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s="4" customFormat="1" ht="12.75">
      <c r="A79" s="215" t="s">
        <v>172</v>
      </c>
      <c r="B79" s="216" t="s">
        <v>51</v>
      </c>
      <c r="C79" s="217" t="s">
        <v>39</v>
      </c>
      <c r="D79" s="217" t="s">
        <v>40</v>
      </c>
      <c r="E79" s="217" t="s">
        <v>41</v>
      </c>
      <c r="F79" s="217" t="s">
        <v>42</v>
      </c>
      <c r="G79" s="217" t="s">
        <v>43</v>
      </c>
      <c r="H79" s="217" t="s">
        <v>44</v>
      </c>
      <c r="I79" s="217" t="s">
        <v>45</v>
      </c>
      <c r="J79" s="217" t="s">
        <v>46</v>
      </c>
      <c r="K79" s="217" t="s">
        <v>47</v>
      </c>
      <c r="L79" s="216" t="s">
        <v>48</v>
      </c>
      <c r="M79" s="216" t="s">
        <v>49</v>
      </c>
      <c r="N79" s="75"/>
      <c r="O79" s="75"/>
      <c r="P79" s="1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s="4" customFormat="1" ht="12.75">
      <c r="A80" s="218">
        <f>A27</f>
        <v>1</v>
      </c>
      <c r="B80" s="218">
        <f>B27</f>
        <v>1</v>
      </c>
      <c r="C80" s="219">
        <f>IF($B27&gt;AUXILIAR!$G$50,0,INDEX(INDICES!$C$11:$K$178,GAR2!$B27,1))</f>
        <v>267.1</v>
      </c>
      <c r="D80" s="219">
        <f>IF($B27&gt;AUXILIAR!$G$50,0,INDEX(INDICES!$C$11:$K$178,GAR2!$B27,2))</f>
        <v>1216.7</v>
      </c>
      <c r="E80" s="219">
        <f>IF($B27&gt;AUXILIAR!$G$50,0,INDEX(INDICES!$C$11:$K$178,GAR2!$B27,3))</f>
        <v>965.9</v>
      </c>
      <c r="F80" s="219">
        <f>IF($B27&gt;AUXILIAR!$G$50,0,INDEX(INDICES!$C$11:$K$178,GAR2!$B27,4))</f>
        <v>1359</v>
      </c>
      <c r="G80" s="219">
        <f>IF($B27&gt;AUXILIAR!$G$50,0,INDEX(INDICES!$C$11:$K$178,GAR2!$B27,5))</f>
        <v>690.5</v>
      </c>
      <c r="H80" s="219">
        <f>IF($B27&gt;AUXILIAR!$G$50,0,INDEX(INDICES!$C$11:$K$178,GAR2!$B27,6))</f>
        <v>1519</v>
      </c>
      <c r="I80" s="219">
        <f>IF($B27&gt;AUXILIAR!$G$50,0,INDEX(INDICES!$C$11:$K$178,GAR2!$B27,7))</f>
        <v>695.5</v>
      </c>
      <c r="J80" s="219">
        <f>IF($B27&gt;AUXILIAR!$G$50,0,INDEX(INDICES!$C$11:$K$178,GAR2!$B27,8))</f>
        <v>642.1</v>
      </c>
      <c r="K80" s="219">
        <f>IF($B27&gt;AUXILIAR!$G$50,0,INDEX(INDICES!$C$11:$K$178,GAR2!$B27,9))</f>
        <v>1030.6</v>
      </c>
      <c r="L80" s="220">
        <f>IF(AUXILIAR!$D$11=2,IF($B80&gt;AUXILIAR!$G$50,"",$C$19*C80/$D$22+$D$19*H80/$I$22+$E$19*D80/$E$22+$F$19*G80/$H$22+$G$19*K80/$L$22+$H$19*E80/$F$22+$I$19*F80/$G$22+$J$19*J80/$K$22+$K$19*I80/$J$22+$L$19),0)</f>
        <v>0</v>
      </c>
      <c r="M80" s="221">
        <f>INDEX(AUXILIAR!I2:I210,GAR2!$B$27)</f>
        <v>35065</v>
      </c>
      <c r="N80" s="75"/>
      <c r="O80" s="75"/>
      <c r="P80" s="1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s="4" customFormat="1" ht="12.75">
      <c r="A81" s="218">
        <f aca="true" t="shared" si="4" ref="A81:A112">1+A80</f>
        <v>2</v>
      </c>
      <c r="B81" s="218">
        <f aca="true" t="shared" si="5" ref="B81:B112">B80+1</f>
        <v>2</v>
      </c>
      <c r="C81" s="219">
        <f>IF($B28&gt;AUXILIAR!$G$50,0,INDEX(INDICES!$C$11:$K$178,GAR2!$B28,1))</f>
        <v>0</v>
      </c>
      <c r="D81" s="219">
        <f>IF($B28&gt;AUXILIAR!$G$50,0,INDEX(INDICES!$C$11:$K$178,GAR2!$B28,2))</f>
        <v>0</v>
      </c>
      <c r="E81" s="219">
        <f>IF($B28&gt;AUXILIAR!$G$50,0,INDEX(INDICES!$C$11:$K$178,GAR2!$B28,3))</f>
        <v>0</v>
      </c>
      <c r="F81" s="219">
        <f>IF($B28&gt;AUXILIAR!$G$50,0,INDEX(INDICES!$C$11:$K$178,GAR2!$B28,4))</f>
        <v>0</v>
      </c>
      <c r="G81" s="219">
        <f>IF($B28&gt;AUXILIAR!$G$50,0,INDEX(INDICES!$C$11:$K$178,GAR2!$B28,5))</f>
        <v>0</v>
      </c>
      <c r="H81" s="219">
        <f>IF($B28&gt;AUXILIAR!$G$50,0,INDEX(INDICES!$C$11:$K$178,GAR2!$B28,6))</f>
        <v>0</v>
      </c>
      <c r="I81" s="219">
        <f>IF($B28&gt;AUXILIAR!$G$50,0,INDEX(INDICES!$C$11:$K$178,GAR2!$B28,7))</f>
        <v>0</v>
      </c>
      <c r="J81" s="219">
        <f>IF($B28&gt;AUXILIAR!$G$50,0,INDEX(INDICES!$C$11:$K$178,GAR2!$B28,8))</f>
        <v>0</v>
      </c>
      <c r="K81" s="219">
        <f>IF($B28&gt;AUXILIAR!$G$50,0,INDEX(INDICES!$C$11:$K$178,GAR2!$B28,9))</f>
        <v>0</v>
      </c>
      <c r="L81" s="220">
        <f>IF(AUXILIAR!$D$11=2,IF($B81&gt;AUXILIAR!$G$50,"",$C$19*C81/$D$22+$D$19*H81/$I$22+$E$19*D81/$E$22+$F$19*G81/$H$22+$G$19*K81/$L$22+$H$19*E81/$F$22+$I$19*F81/$G$22+$J$19*J81/$K$22+$K$19*I81/$J$22+$L$19),0)</f>
        <v>0</v>
      </c>
      <c r="M81" s="221">
        <f>INDEX(AUXILIAR!I3:I211,GAR2!$B$27)</f>
        <v>35096</v>
      </c>
      <c r="N81" s="75"/>
      <c r="O81" s="75"/>
      <c r="P81" s="1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s="4" customFormat="1" ht="12.75">
      <c r="A82" s="218">
        <f t="shared" si="4"/>
        <v>3</v>
      </c>
      <c r="B82" s="218">
        <f t="shared" si="5"/>
        <v>3</v>
      </c>
      <c r="C82" s="219">
        <f>IF($B29&gt;AUXILIAR!$G$50,0,INDEX(INDICES!$C$11:$K$178,GAR2!$B29,1))</f>
        <v>0</v>
      </c>
      <c r="D82" s="219">
        <f>IF($B29&gt;AUXILIAR!$G$50,0,INDEX(INDICES!$C$11:$K$178,GAR2!$B29,2))</f>
        <v>0</v>
      </c>
      <c r="E82" s="219">
        <f>IF($B29&gt;AUXILIAR!$G$50,0,INDEX(INDICES!$C$11:$K$178,GAR2!$B29,3))</f>
        <v>0</v>
      </c>
      <c r="F82" s="219">
        <f>IF($B29&gt;AUXILIAR!$G$50,0,INDEX(INDICES!$C$11:$K$178,GAR2!$B29,4))</f>
        <v>0</v>
      </c>
      <c r="G82" s="219">
        <f>IF($B29&gt;AUXILIAR!$G$50,0,INDEX(INDICES!$C$11:$K$178,GAR2!$B29,5))</f>
        <v>0</v>
      </c>
      <c r="H82" s="219">
        <f>IF($B29&gt;AUXILIAR!$G$50,0,INDEX(INDICES!$C$11:$K$178,GAR2!$B29,6))</f>
        <v>0</v>
      </c>
      <c r="I82" s="219">
        <f>IF($B29&gt;AUXILIAR!$G$50,0,INDEX(INDICES!$C$11:$K$178,GAR2!$B29,7))</f>
        <v>0</v>
      </c>
      <c r="J82" s="219">
        <f>IF($B29&gt;AUXILIAR!$G$50,0,INDEX(INDICES!$C$11:$K$178,GAR2!$B29,8))</f>
        <v>0</v>
      </c>
      <c r="K82" s="219">
        <f>IF($B29&gt;AUXILIAR!$G$50,0,INDEX(INDICES!$C$11:$K$178,GAR2!$B29,9))</f>
        <v>0</v>
      </c>
      <c r="L82" s="220">
        <f>IF(AUXILIAR!$D$11=2,IF($B82&gt;AUXILIAR!$G$50,"",$C$19*C82/$D$22+$D$19*H82/$I$22+$E$19*D82/$E$22+$F$19*G82/$H$22+$G$19*K82/$L$22+$H$19*E82/$F$22+$I$19*F82/$G$22+$J$19*J82/$K$22+$K$19*I82/$J$22+$L$19),0)</f>
        <v>0</v>
      </c>
      <c r="M82" s="221">
        <f>INDEX(AUXILIAR!I4:I212,GAR2!$B$27)</f>
        <v>35125</v>
      </c>
      <c r="N82" s="75"/>
      <c r="O82" s="75"/>
      <c r="P82" s="1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s="4" customFormat="1" ht="12.75">
      <c r="A83" s="218">
        <f t="shared" si="4"/>
        <v>4</v>
      </c>
      <c r="B83" s="218">
        <f t="shared" si="5"/>
        <v>4</v>
      </c>
      <c r="C83" s="219">
        <f>IF($B30&gt;AUXILIAR!$G$50,0,INDEX(INDICES!$C$11:$K$178,GAR2!$B30,1))</f>
        <v>0</v>
      </c>
      <c r="D83" s="219">
        <f>IF($B30&gt;AUXILIAR!$G$50,0,INDEX(INDICES!$C$11:$K$178,GAR2!$B30,2))</f>
        <v>0</v>
      </c>
      <c r="E83" s="219">
        <f>IF($B30&gt;AUXILIAR!$G$50,0,INDEX(INDICES!$C$11:$K$178,GAR2!$B30,3))</f>
        <v>0</v>
      </c>
      <c r="F83" s="219">
        <f>IF($B30&gt;AUXILIAR!$G$50,0,INDEX(INDICES!$C$11:$K$178,GAR2!$B30,4))</f>
        <v>0</v>
      </c>
      <c r="G83" s="219">
        <f>IF($B30&gt;AUXILIAR!$G$50,0,INDEX(INDICES!$C$11:$K$178,GAR2!$B30,5))</f>
        <v>0</v>
      </c>
      <c r="H83" s="219">
        <f>IF($B30&gt;AUXILIAR!$G$50,0,INDEX(INDICES!$C$11:$K$178,GAR2!$B30,6))</f>
        <v>0</v>
      </c>
      <c r="I83" s="219">
        <f>IF($B30&gt;AUXILIAR!$G$50,0,INDEX(INDICES!$C$11:$K$178,GAR2!$B30,7))</f>
        <v>0</v>
      </c>
      <c r="J83" s="219">
        <f>IF($B30&gt;AUXILIAR!$G$50,0,INDEX(INDICES!$C$11:$K$178,GAR2!$B30,8))</f>
        <v>0</v>
      </c>
      <c r="K83" s="219">
        <f>IF($B30&gt;AUXILIAR!$G$50,0,INDEX(INDICES!$C$11:$K$178,GAR2!$B30,9))</f>
        <v>0</v>
      </c>
      <c r="L83" s="220">
        <f>IF(AUXILIAR!$D$11=2,IF($B83&gt;AUXILIAR!$G$50,"",$C$19*C83/$D$22+$D$19*H83/$I$22+$E$19*D83/$E$22+$F$19*G83/$H$22+$G$19*K83/$L$22+$H$19*E83/$F$22+$I$19*F83/$G$22+$J$19*J83/$K$22+$K$19*I83/$J$22+$L$19),0)</f>
        <v>0</v>
      </c>
      <c r="M83" s="221">
        <f>INDEX(AUXILIAR!I5:I213,GAR2!$B$27)</f>
        <v>35156</v>
      </c>
      <c r="N83" s="75"/>
      <c r="O83" s="75"/>
      <c r="P83" s="1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s="4" customFormat="1" ht="12.75">
      <c r="A84" s="218">
        <f t="shared" si="4"/>
        <v>5</v>
      </c>
      <c r="B84" s="218">
        <f t="shared" si="5"/>
        <v>5</v>
      </c>
      <c r="C84" s="219">
        <f>IF($B31&gt;AUXILIAR!$G$50,0,INDEX(INDICES!$C$11:$K$178,GAR2!$B31,1))</f>
        <v>0</v>
      </c>
      <c r="D84" s="219">
        <f>IF($B31&gt;AUXILIAR!$G$50,0,INDEX(INDICES!$C$11:$K$178,GAR2!$B31,2))</f>
        <v>0</v>
      </c>
      <c r="E84" s="219">
        <f>IF($B31&gt;AUXILIAR!$G$50,0,INDEX(INDICES!$C$11:$K$178,GAR2!$B31,3))</f>
        <v>0</v>
      </c>
      <c r="F84" s="219">
        <f>IF($B31&gt;AUXILIAR!$G$50,0,INDEX(INDICES!$C$11:$K$178,GAR2!$B31,4))</f>
        <v>0</v>
      </c>
      <c r="G84" s="219">
        <f>IF($B31&gt;AUXILIAR!$G$50,0,INDEX(INDICES!$C$11:$K$178,GAR2!$B31,5))</f>
        <v>0</v>
      </c>
      <c r="H84" s="219">
        <f>IF($B31&gt;AUXILIAR!$G$50,0,INDEX(INDICES!$C$11:$K$178,GAR2!$B31,6))</f>
        <v>0</v>
      </c>
      <c r="I84" s="219">
        <f>IF($B31&gt;AUXILIAR!$G$50,0,INDEX(INDICES!$C$11:$K$178,GAR2!$B31,7))</f>
        <v>0</v>
      </c>
      <c r="J84" s="219">
        <f>IF($B31&gt;AUXILIAR!$G$50,0,INDEX(INDICES!$C$11:$K$178,GAR2!$B31,8))</f>
        <v>0</v>
      </c>
      <c r="K84" s="219">
        <f>IF($B31&gt;AUXILIAR!$G$50,0,INDEX(INDICES!$C$11:$K$178,GAR2!$B31,9))</f>
        <v>0</v>
      </c>
      <c r="L84" s="220">
        <f>IF(AUXILIAR!$D$11=2,IF($B84&gt;AUXILIAR!$G$50,"",$C$19*C84/$D$22+$D$19*H84/$I$22+$E$19*D84/$E$22+$F$19*G84/$H$22+$G$19*K84/$L$22+$H$19*E84/$F$22+$I$19*F84/$G$22+$J$19*J84/$K$22+$K$19*I84/$J$22+$L$19),0)</f>
        <v>0</v>
      </c>
      <c r="M84" s="221">
        <f>INDEX(AUXILIAR!I6:I214,GAR2!$B$27)</f>
        <v>35186</v>
      </c>
      <c r="N84" s="75"/>
      <c r="O84" s="75"/>
      <c r="P84" s="1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s="4" customFormat="1" ht="12.75">
      <c r="A85" s="218">
        <f t="shared" si="4"/>
        <v>6</v>
      </c>
      <c r="B85" s="218">
        <f t="shared" si="5"/>
        <v>6</v>
      </c>
      <c r="C85" s="219">
        <f>IF($B32&gt;AUXILIAR!$G$50,0,INDEX(INDICES!$C$11:$K$178,GAR2!$B32,1))</f>
        <v>0</v>
      </c>
      <c r="D85" s="219">
        <f>IF($B32&gt;AUXILIAR!$G$50,0,INDEX(INDICES!$C$11:$K$178,GAR2!$B32,2))</f>
        <v>0</v>
      </c>
      <c r="E85" s="219">
        <f>IF($B32&gt;AUXILIAR!$G$50,0,INDEX(INDICES!$C$11:$K$178,GAR2!$B32,3))</f>
        <v>0</v>
      </c>
      <c r="F85" s="219">
        <f>IF($B32&gt;AUXILIAR!$G$50,0,INDEX(INDICES!$C$11:$K$178,GAR2!$B32,4))</f>
        <v>0</v>
      </c>
      <c r="G85" s="219">
        <f>IF($B32&gt;AUXILIAR!$G$50,0,INDEX(INDICES!$C$11:$K$178,GAR2!$B32,5))</f>
        <v>0</v>
      </c>
      <c r="H85" s="219">
        <f>IF($B32&gt;AUXILIAR!$G$50,0,INDEX(INDICES!$C$11:$K$178,GAR2!$B32,6))</f>
        <v>0</v>
      </c>
      <c r="I85" s="219">
        <f>IF($B32&gt;AUXILIAR!$G$50,0,INDEX(INDICES!$C$11:$K$178,GAR2!$B32,7))</f>
        <v>0</v>
      </c>
      <c r="J85" s="219">
        <f>IF($B32&gt;AUXILIAR!$G$50,0,INDEX(INDICES!$C$11:$K$178,GAR2!$B32,8))</f>
        <v>0</v>
      </c>
      <c r="K85" s="219">
        <f>IF($B32&gt;AUXILIAR!$G$50,0,INDEX(INDICES!$C$11:$K$178,GAR2!$B32,9))</f>
        <v>0</v>
      </c>
      <c r="L85" s="220">
        <f>IF(AUXILIAR!$D$11=2,IF($B85&gt;AUXILIAR!$G$50,"",$C$19*C85/$D$22+$D$19*H85/$I$22+$E$19*D85/$E$22+$F$19*G85/$H$22+$G$19*K85/$L$22+$H$19*E85/$F$22+$I$19*F85/$G$22+$J$19*J85/$K$22+$K$19*I85/$J$22+$L$19),0)</f>
        <v>0</v>
      </c>
      <c r="M85" s="221">
        <f>INDEX(AUXILIAR!I7:I215,GAR2!$B$27)</f>
        <v>35217</v>
      </c>
      <c r="N85" s="75"/>
      <c r="O85" s="75"/>
      <c r="P85" s="1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s="4" customFormat="1" ht="12.75">
      <c r="A86" s="218">
        <f t="shared" si="4"/>
        <v>7</v>
      </c>
      <c r="B86" s="218">
        <f t="shared" si="5"/>
        <v>7</v>
      </c>
      <c r="C86" s="219">
        <f>IF($B33&gt;AUXILIAR!$G$50,0,INDEX(INDICES!$C$11:$K$178,GAR2!$B33,1))</f>
        <v>0</v>
      </c>
      <c r="D86" s="219">
        <f>IF($B33&gt;AUXILIAR!$G$50,0,INDEX(INDICES!$C$11:$K$178,GAR2!$B33,2))</f>
        <v>0</v>
      </c>
      <c r="E86" s="219">
        <f>IF($B33&gt;AUXILIAR!$G$50,0,INDEX(INDICES!$C$11:$K$178,GAR2!$B33,3))</f>
        <v>0</v>
      </c>
      <c r="F86" s="219">
        <f>IF($B33&gt;AUXILIAR!$G$50,0,INDEX(INDICES!$C$11:$K$178,GAR2!$B33,4))</f>
        <v>0</v>
      </c>
      <c r="G86" s="219">
        <f>IF($B33&gt;AUXILIAR!$G$50,0,INDEX(INDICES!$C$11:$K$178,GAR2!$B33,5))</f>
        <v>0</v>
      </c>
      <c r="H86" s="219">
        <f>IF($B33&gt;AUXILIAR!$G$50,0,INDEX(INDICES!$C$11:$K$178,GAR2!$B33,6))</f>
        <v>0</v>
      </c>
      <c r="I86" s="219">
        <f>IF($B33&gt;AUXILIAR!$G$50,0,INDEX(INDICES!$C$11:$K$178,GAR2!$B33,7))</f>
        <v>0</v>
      </c>
      <c r="J86" s="219">
        <f>IF($B33&gt;AUXILIAR!$G$50,0,INDEX(INDICES!$C$11:$K$178,GAR2!$B33,8))</f>
        <v>0</v>
      </c>
      <c r="K86" s="219">
        <f>IF($B33&gt;AUXILIAR!$G$50,0,INDEX(INDICES!$C$11:$K$178,GAR2!$B33,9))</f>
        <v>0</v>
      </c>
      <c r="L86" s="220">
        <f>IF(AUXILIAR!$D$11=2,IF($B86&gt;AUXILIAR!$G$50,"",$C$19*C86/$D$22+$D$19*H86/$I$22+$E$19*D86/$E$22+$F$19*G86/$H$22+$G$19*K86/$L$22+$H$19*E86/$F$22+$I$19*F86/$G$22+$J$19*J86/$K$22+$K$19*I86/$J$22+$L$19),0)</f>
        <v>0</v>
      </c>
      <c r="M86" s="221">
        <f>INDEX(AUXILIAR!I8:I216,GAR2!$B$27)</f>
        <v>35247</v>
      </c>
      <c r="N86" s="75"/>
      <c r="O86" s="75"/>
      <c r="P86" s="1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s="4" customFormat="1" ht="12.75">
      <c r="A87" s="218">
        <f t="shared" si="4"/>
        <v>8</v>
      </c>
      <c r="B87" s="218">
        <f t="shared" si="5"/>
        <v>8</v>
      </c>
      <c r="C87" s="219">
        <f>IF($B34&gt;AUXILIAR!$G$50,0,INDEX(INDICES!$C$11:$K$178,GAR2!$B34,1))</f>
        <v>0</v>
      </c>
      <c r="D87" s="219">
        <f>IF($B34&gt;AUXILIAR!$G$50,0,INDEX(INDICES!$C$11:$K$178,GAR2!$B34,2))</f>
        <v>0</v>
      </c>
      <c r="E87" s="219">
        <f>IF($B34&gt;AUXILIAR!$G$50,0,INDEX(INDICES!$C$11:$K$178,GAR2!$B34,3))</f>
        <v>0</v>
      </c>
      <c r="F87" s="219">
        <f>IF($B34&gt;AUXILIAR!$G$50,0,INDEX(INDICES!$C$11:$K$178,GAR2!$B34,4))</f>
        <v>0</v>
      </c>
      <c r="G87" s="219">
        <f>IF($B34&gt;AUXILIAR!$G$50,0,INDEX(INDICES!$C$11:$K$178,GAR2!$B34,5))</f>
        <v>0</v>
      </c>
      <c r="H87" s="219">
        <f>IF($B34&gt;AUXILIAR!$G$50,0,INDEX(INDICES!$C$11:$K$178,GAR2!$B34,6))</f>
        <v>0</v>
      </c>
      <c r="I87" s="219">
        <f>IF($B34&gt;AUXILIAR!$G$50,0,INDEX(INDICES!$C$11:$K$178,GAR2!$B34,7))</f>
        <v>0</v>
      </c>
      <c r="J87" s="219">
        <f>IF($B34&gt;AUXILIAR!$G$50,0,INDEX(INDICES!$C$11:$K$178,GAR2!$B34,8))</f>
        <v>0</v>
      </c>
      <c r="K87" s="219">
        <f>IF($B34&gt;AUXILIAR!$G$50,0,INDEX(INDICES!$C$11:$K$178,GAR2!$B34,9))</f>
        <v>0</v>
      </c>
      <c r="L87" s="220">
        <f>IF(AUXILIAR!$D$11=2,IF($B87&gt;AUXILIAR!$G$50,"",$C$19*C87/$D$22+$D$19*H87/$I$22+$E$19*D87/$E$22+$F$19*G87/$H$22+$G$19*K87/$L$22+$H$19*E87/$F$22+$I$19*F87/$G$22+$J$19*J87/$K$22+$K$19*I87/$J$22+$L$19),0)</f>
        <v>0</v>
      </c>
      <c r="M87" s="221">
        <f>INDEX(AUXILIAR!I9:I217,GAR2!$B$27)</f>
        <v>35278</v>
      </c>
      <c r="N87" s="75"/>
      <c r="O87" s="75"/>
      <c r="P87" s="1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s="4" customFormat="1" ht="12.75">
      <c r="A88" s="218">
        <f t="shared" si="4"/>
        <v>9</v>
      </c>
      <c r="B88" s="218">
        <f t="shared" si="5"/>
        <v>9</v>
      </c>
      <c r="C88" s="219">
        <f>IF($B35&gt;AUXILIAR!$G$50,0,INDEX(INDICES!$C$11:$K$178,GAR2!$B35,1))</f>
        <v>0</v>
      </c>
      <c r="D88" s="219">
        <f>IF($B35&gt;AUXILIAR!$G$50,0,INDEX(INDICES!$C$11:$K$178,GAR2!$B35,2))</f>
        <v>0</v>
      </c>
      <c r="E88" s="219">
        <f>IF($B35&gt;AUXILIAR!$G$50,0,INDEX(INDICES!$C$11:$K$178,GAR2!$B35,3))</f>
        <v>0</v>
      </c>
      <c r="F88" s="219">
        <f>IF($B35&gt;AUXILIAR!$G$50,0,INDEX(INDICES!$C$11:$K$178,GAR2!$B35,4))</f>
        <v>0</v>
      </c>
      <c r="G88" s="219">
        <f>IF($B35&gt;AUXILIAR!$G$50,0,INDEX(INDICES!$C$11:$K$178,GAR2!$B35,5))</f>
        <v>0</v>
      </c>
      <c r="H88" s="219">
        <f>IF($B35&gt;AUXILIAR!$G$50,0,INDEX(INDICES!$C$11:$K$178,GAR2!$B35,6))</f>
        <v>0</v>
      </c>
      <c r="I88" s="219">
        <f>IF($B35&gt;AUXILIAR!$G$50,0,INDEX(INDICES!$C$11:$K$178,GAR2!$B35,7))</f>
        <v>0</v>
      </c>
      <c r="J88" s="219">
        <f>IF($B35&gt;AUXILIAR!$G$50,0,INDEX(INDICES!$C$11:$K$178,GAR2!$B35,8))</f>
        <v>0</v>
      </c>
      <c r="K88" s="219">
        <f>IF($B35&gt;AUXILIAR!$G$50,0,INDEX(INDICES!$C$11:$K$178,GAR2!$B35,9))</f>
        <v>0</v>
      </c>
      <c r="L88" s="220">
        <f>IF(AUXILIAR!$D$11=2,IF($B88&gt;AUXILIAR!$G$50,"",$C$19*C88/$D$22+$D$19*H88/$I$22+$E$19*D88/$E$22+$F$19*G88/$H$22+$G$19*K88/$L$22+$H$19*E88/$F$22+$I$19*F88/$G$22+$J$19*J88/$K$22+$K$19*I88/$J$22+$L$19),0)</f>
        <v>0</v>
      </c>
      <c r="M88" s="221">
        <f>INDEX(AUXILIAR!I10:I218,GAR2!$B$27)</f>
        <v>35309</v>
      </c>
      <c r="N88" s="75"/>
      <c r="O88" s="75"/>
      <c r="P88" s="1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s="4" customFormat="1" ht="12.75">
      <c r="A89" s="218">
        <f t="shared" si="4"/>
        <v>10</v>
      </c>
      <c r="B89" s="218">
        <f t="shared" si="5"/>
        <v>10</v>
      </c>
      <c r="C89" s="219">
        <f>IF($B36&gt;AUXILIAR!$G$50,0,INDEX(INDICES!$C$11:$K$178,GAR2!$B36,1))</f>
        <v>0</v>
      </c>
      <c r="D89" s="219">
        <f>IF($B36&gt;AUXILIAR!$G$50,0,INDEX(INDICES!$C$11:$K$178,GAR2!$B36,2))</f>
        <v>0</v>
      </c>
      <c r="E89" s="219">
        <f>IF($B36&gt;AUXILIAR!$G$50,0,INDEX(INDICES!$C$11:$K$178,GAR2!$B36,3))</f>
        <v>0</v>
      </c>
      <c r="F89" s="219">
        <f>IF($B36&gt;AUXILIAR!$G$50,0,INDEX(INDICES!$C$11:$K$178,GAR2!$B36,4))</f>
        <v>0</v>
      </c>
      <c r="G89" s="219">
        <f>IF($B36&gt;AUXILIAR!$G$50,0,INDEX(INDICES!$C$11:$K$178,GAR2!$B36,5))</f>
        <v>0</v>
      </c>
      <c r="H89" s="219">
        <f>IF($B36&gt;AUXILIAR!$G$50,0,INDEX(INDICES!$C$11:$K$178,GAR2!$B36,6))</f>
        <v>0</v>
      </c>
      <c r="I89" s="219">
        <f>IF($B36&gt;AUXILIAR!$G$50,0,INDEX(INDICES!$C$11:$K$178,GAR2!$B36,7))</f>
        <v>0</v>
      </c>
      <c r="J89" s="219">
        <f>IF($B36&gt;AUXILIAR!$G$50,0,INDEX(INDICES!$C$11:$K$178,GAR2!$B36,8))</f>
        <v>0</v>
      </c>
      <c r="K89" s="219">
        <f>IF($B36&gt;AUXILIAR!$G$50,0,INDEX(INDICES!$C$11:$K$178,GAR2!$B36,9))</f>
        <v>0</v>
      </c>
      <c r="L89" s="220">
        <f>IF(AUXILIAR!$D$11=2,IF($B89&gt;AUXILIAR!$G$50,"",$C$19*C89/$D$22+$D$19*H89/$I$22+$E$19*D89/$E$22+$F$19*G89/$H$22+$G$19*K89/$L$22+$H$19*E89/$F$22+$I$19*F89/$G$22+$J$19*J89/$K$22+$K$19*I89/$J$22+$L$19),0)</f>
        <v>0</v>
      </c>
      <c r="M89" s="221">
        <f>INDEX(AUXILIAR!I11:I219,GAR2!$B$27)</f>
        <v>35339</v>
      </c>
      <c r="N89" s="75"/>
      <c r="O89" s="75"/>
      <c r="P89" s="1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s="4" customFormat="1" ht="12.75">
      <c r="A90" s="218">
        <f t="shared" si="4"/>
        <v>11</v>
      </c>
      <c r="B90" s="218">
        <f t="shared" si="5"/>
        <v>11</v>
      </c>
      <c r="C90" s="219">
        <f>IF($B37&gt;AUXILIAR!$G$50,0,INDEX(INDICES!$C$11:$K$178,GAR2!$B37,1))</f>
        <v>0</v>
      </c>
      <c r="D90" s="219">
        <f>IF($B37&gt;AUXILIAR!$G$50,0,INDEX(INDICES!$C$11:$K$178,GAR2!$B37,2))</f>
        <v>0</v>
      </c>
      <c r="E90" s="219">
        <f>IF($B37&gt;AUXILIAR!$G$50,0,INDEX(INDICES!$C$11:$K$178,GAR2!$B37,3))</f>
        <v>0</v>
      </c>
      <c r="F90" s="219">
        <f>IF($B37&gt;AUXILIAR!$G$50,0,INDEX(INDICES!$C$11:$K$178,GAR2!$B37,4))</f>
        <v>0</v>
      </c>
      <c r="G90" s="219">
        <f>IF($B37&gt;AUXILIAR!$G$50,0,INDEX(INDICES!$C$11:$K$178,GAR2!$B37,5))</f>
        <v>0</v>
      </c>
      <c r="H90" s="219">
        <f>IF($B37&gt;AUXILIAR!$G$50,0,INDEX(INDICES!$C$11:$K$178,GAR2!$B37,6))</f>
        <v>0</v>
      </c>
      <c r="I90" s="219">
        <f>IF($B37&gt;AUXILIAR!$G$50,0,INDEX(INDICES!$C$11:$K$178,GAR2!$B37,7))</f>
        <v>0</v>
      </c>
      <c r="J90" s="219">
        <f>IF($B37&gt;AUXILIAR!$G$50,0,INDEX(INDICES!$C$11:$K$178,GAR2!$B37,8))</f>
        <v>0</v>
      </c>
      <c r="K90" s="219">
        <f>IF($B37&gt;AUXILIAR!$G$50,0,INDEX(INDICES!$C$11:$K$178,GAR2!$B37,9))</f>
        <v>0</v>
      </c>
      <c r="L90" s="220">
        <f>IF(AUXILIAR!$D$11=2,IF($B90&gt;AUXILIAR!$G$50,"",$C$19*C90/$D$22+$D$19*H90/$I$22+$E$19*D90/$E$22+$F$19*G90/$H$22+$G$19*K90/$L$22+$H$19*E90/$F$22+$I$19*F90/$G$22+$J$19*J90/$K$22+$K$19*I90/$J$22+$L$19),0)</f>
        <v>0</v>
      </c>
      <c r="M90" s="221">
        <f>INDEX(AUXILIAR!I12:I220,GAR2!$B$27)</f>
        <v>35370</v>
      </c>
      <c r="N90" s="75"/>
      <c r="O90" s="75"/>
      <c r="P90" s="1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s="4" customFormat="1" ht="12.75">
      <c r="A91" s="218">
        <f t="shared" si="4"/>
        <v>12</v>
      </c>
      <c r="B91" s="218">
        <f t="shared" si="5"/>
        <v>12</v>
      </c>
      <c r="C91" s="219">
        <f>IF($B38&gt;AUXILIAR!$G$50,0,INDEX(INDICES!$C$11:$K$178,GAR2!$B38,1))</f>
        <v>0</v>
      </c>
      <c r="D91" s="219">
        <f>IF($B38&gt;AUXILIAR!$G$50,0,INDEX(INDICES!$C$11:$K$178,GAR2!$B38,2))</f>
        <v>0</v>
      </c>
      <c r="E91" s="219">
        <f>IF($B38&gt;AUXILIAR!$G$50,0,INDEX(INDICES!$C$11:$K$178,GAR2!$B38,3))</f>
        <v>0</v>
      </c>
      <c r="F91" s="219">
        <f>IF($B38&gt;AUXILIAR!$G$50,0,INDEX(INDICES!$C$11:$K$178,GAR2!$B38,4))</f>
        <v>0</v>
      </c>
      <c r="G91" s="219">
        <f>IF($B38&gt;AUXILIAR!$G$50,0,INDEX(INDICES!$C$11:$K$178,GAR2!$B38,5))</f>
        <v>0</v>
      </c>
      <c r="H91" s="219">
        <f>IF($B38&gt;AUXILIAR!$G$50,0,INDEX(INDICES!$C$11:$K$178,GAR2!$B38,6))</f>
        <v>0</v>
      </c>
      <c r="I91" s="219">
        <f>IF($B38&gt;AUXILIAR!$G$50,0,INDEX(INDICES!$C$11:$K$178,GAR2!$B38,7))</f>
        <v>0</v>
      </c>
      <c r="J91" s="219">
        <f>IF($B38&gt;AUXILIAR!$G$50,0,INDEX(INDICES!$C$11:$K$178,GAR2!$B38,8))</f>
        <v>0</v>
      </c>
      <c r="K91" s="219">
        <f>IF($B38&gt;AUXILIAR!$G$50,0,INDEX(INDICES!$C$11:$K$178,GAR2!$B38,9))</f>
        <v>0</v>
      </c>
      <c r="L91" s="220">
        <f>IF(AUXILIAR!$D$11=2,IF($B91&gt;AUXILIAR!$G$50,"",$C$19*C91/$D$22+$D$19*H91/$I$22+$E$19*D91/$E$22+$F$19*G91/$H$22+$G$19*K91/$L$22+$H$19*E91/$F$22+$I$19*F91/$G$22+$J$19*J91/$K$22+$K$19*I91/$J$22+$L$19),0)</f>
        <v>0</v>
      </c>
      <c r="M91" s="221">
        <f>INDEX(AUXILIAR!I13:I221,GAR2!$B$27)</f>
        <v>35400</v>
      </c>
      <c r="N91" s="75"/>
      <c r="O91" s="75"/>
      <c r="P91" s="1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s="4" customFormat="1" ht="12.75">
      <c r="A92" s="218">
        <f t="shared" si="4"/>
        <v>13</v>
      </c>
      <c r="B92" s="218">
        <f t="shared" si="5"/>
        <v>13</v>
      </c>
      <c r="C92" s="219">
        <f>IF($B39&gt;AUXILIAR!$G$50,0,INDEX(INDICES!$C$11:$K$178,GAR2!$B39,1))</f>
        <v>0</v>
      </c>
      <c r="D92" s="219">
        <f>IF($B39&gt;AUXILIAR!$G$50,0,INDEX(INDICES!$C$11:$K$178,GAR2!$B39,2))</f>
        <v>0</v>
      </c>
      <c r="E92" s="219">
        <f>IF($B39&gt;AUXILIAR!$G$50,0,INDEX(INDICES!$C$11:$K$178,GAR2!$B39,3))</f>
        <v>0</v>
      </c>
      <c r="F92" s="219">
        <f>IF($B39&gt;AUXILIAR!$G$50,0,INDEX(INDICES!$C$11:$K$178,GAR2!$B39,4))</f>
        <v>0</v>
      </c>
      <c r="G92" s="219">
        <f>IF($B39&gt;AUXILIAR!$G$50,0,INDEX(INDICES!$C$11:$K$178,GAR2!$B39,5))</f>
        <v>0</v>
      </c>
      <c r="H92" s="219">
        <f>IF($B39&gt;AUXILIAR!$G$50,0,INDEX(INDICES!$C$11:$K$178,GAR2!$B39,6))</f>
        <v>0</v>
      </c>
      <c r="I92" s="219">
        <f>IF($B39&gt;AUXILIAR!$G$50,0,INDEX(INDICES!$C$11:$K$178,GAR2!$B39,7))</f>
        <v>0</v>
      </c>
      <c r="J92" s="219">
        <f>IF($B39&gt;AUXILIAR!$G$50,0,INDEX(INDICES!$C$11:$K$178,GAR2!$B39,8))</f>
        <v>0</v>
      </c>
      <c r="K92" s="219">
        <f>IF($B39&gt;AUXILIAR!$G$50,0,INDEX(INDICES!$C$11:$K$178,GAR2!$B39,9))</f>
        <v>0</v>
      </c>
      <c r="L92" s="220">
        <f>IF(AUXILIAR!$D$11=2,IF($B92&gt;AUXILIAR!$G$50,"",$C$19*C92/$D$22+$D$19*H92/$I$22+$E$19*D92/$E$22+$F$19*G92/$H$22+$G$19*K92/$L$22+$H$19*E92/$F$22+$I$19*F92/$G$22+$J$19*J92/$K$22+$K$19*I92/$J$22+$L$19),0)</f>
        <v>0</v>
      </c>
      <c r="M92" s="221">
        <f>INDEX(AUXILIAR!I14:I222,GAR2!$B$27)</f>
        <v>35431</v>
      </c>
      <c r="N92" s="75"/>
      <c r="O92" s="75"/>
      <c r="P92" s="1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s="4" customFormat="1" ht="12.75">
      <c r="A93" s="218">
        <f t="shared" si="4"/>
        <v>14</v>
      </c>
      <c r="B93" s="218">
        <f t="shared" si="5"/>
        <v>14</v>
      </c>
      <c r="C93" s="219">
        <f>IF($B40&gt;AUXILIAR!$G$50,0,INDEX(INDICES!$C$11:$K$178,GAR2!$B40,1))</f>
        <v>0</v>
      </c>
      <c r="D93" s="219">
        <f>IF($B40&gt;AUXILIAR!$G$50,0,INDEX(INDICES!$C$11:$K$178,GAR2!$B40,2))</f>
        <v>0</v>
      </c>
      <c r="E93" s="219">
        <f>IF($B40&gt;AUXILIAR!$G$50,0,INDEX(INDICES!$C$11:$K$178,GAR2!$B40,3))</f>
        <v>0</v>
      </c>
      <c r="F93" s="219">
        <f>IF($B40&gt;AUXILIAR!$G$50,0,INDEX(INDICES!$C$11:$K$178,GAR2!$B40,4))</f>
        <v>0</v>
      </c>
      <c r="G93" s="219">
        <f>IF($B40&gt;AUXILIAR!$G$50,0,INDEX(INDICES!$C$11:$K$178,GAR2!$B40,5))</f>
        <v>0</v>
      </c>
      <c r="H93" s="219">
        <f>IF($B40&gt;AUXILIAR!$G$50,0,INDEX(INDICES!$C$11:$K$178,GAR2!$B40,6))</f>
        <v>0</v>
      </c>
      <c r="I93" s="219">
        <f>IF($B40&gt;AUXILIAR!$G$50,0,INDEX(INDICES!$C$11:$K$178,GAR2!$B40,7))</f>
        <v>0</v>
      </c>
      <c r="J93" s="219">
        <f>IF($B40&gt;AUXILIAR!$G$50,0,INDEX(INDICES!$C$11:$K$178,GAR2!$B40,8))</f>
        <v>0</v>
      </c>
      <c r="K93" s="219">
        <f>IF($B40&gt;AUXILIAR!$G$50,0,INDEX(INDICES!$C$11:$K$178,GAR2!$B40,9))</f>
        <v>0</v>
      </c>
      <c r="L93" s="220">
        <f>IF(AUXILIAR!$D$11=2,IF($B93&gt;AUXILIAR!$G$50,"",$C$19*C93/$D$22+$D$19*H93/$I$22+$E$19*D93/$E$22+$F$19*G93/$H$22+$G$19*K93/$L$22+$H$19*E93/$F$22+$I$19*F93/$G$22+$J$19*J93/$K$22+$K$19*I93/$J$22+$L$19),0)</f>
        <v>0</v>
      </c>
      <c r="M93" s="221">
        <f>INDEX(AUXILIAR!I15:I223,GAR2!$B$27)</f>
        <v>35462</v>
      </c>
      <c r="N93" s="75"/>
      <c r="O93" s="75"/>
      <c r="P93" s="1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s="4" customFormat="1" ht="12.75">
      <c r="A94" s="218">
        <f t="shared" si="4"/>
        <v>15</v>
      </c>
      <c r="B94" s="218">
        <f t="shared" si="5"/>
        <v>15</v>
      </c>
      <c r="C94" s="219">
        <f>IF($B41&gt;AUXILIAR!$G$50,0,INDEX(INDICES!$C$11:$K$178,GAR2!$B41,1))</f>
        <v>0</v>
      </c>
      <c r="D94" s="219">
        <f>IF($B41&gt;AUXILIAR!$G$50,0,INDEX(INDICES!$C$11:$K$178,GAR2!$B41,2))</f>
        <v>0</v>
      </c>
      <c r="E94" s="219">
        <f>IF($B41&gt;AUXILIAR!$G$50,0,INDEX(INDICES!$C$11:$K$178,GAR2!$B41,3))</f>
        <v>0</v>
      </c>
      <c r="F94" s="219">
        <f>IF($B41&gt;AUXILIAR!$G$50,0,INDEX(INDICES!$C$11:$K$178,GAR2!$B41,4))</f>
        <v>0</v>
      </c>
      <c r="G94" s="219">
        <f>IF($B41&gt;AUXILIAR!$G$50,0,INDEX(INDICES!$C$11:$K$178,GAR2!$B41,5))</f>
        <v>0</v>
      </c>
      <c r="H94" s="219">
        <f>IF($B41&gt;AUXILIAR!$G$50,0,INDEX(INDICES!$C$11:$K$178,GAR2!$B41,6))</f>
        <v>0</v>
      </c>
      <c r="I94" s="219">
        <f>IF($B41&gt;AUXILIAR!$G$50,0,INDEX(INDICES!$C$11:$K$178,GAR2!$B41,7))</f>
        <v>0</v>
      </c>
      <c r="J94" s="219">
        <f>IF($B41&gt;AUXILIAR!$G$50,0,INDEX(INDICES!$C$11:$K$178,GAR2!$B41,8))</f>
        <v>0</v>
      </c>
      <c r="K94" s="219">
        <f>IF($B41&gt;AUXILIAR!$G$50,0,INDEX(INDICES!$C$11:$K$178,GAR2!$B41,9))</f>
        <v>0</v>
      </c>
      <c r="L94" s="220">
        <f>IF(AUXILIAR!$D$11=2,IF($B94&gt;AUXILIAR!$G$50,"",$C$19*C94/$D$22+$D$19*H94/$I$22+$E$19*D94/$E$22+$F$19*G94/$H$22+$G$19*K94/$L$22+$H$19*E94/$F$22+$I$19*F94/$G$22+$J$19*J94/$K$22+$K$19*I94/$J$22+$L$19),0)</f>
        <v>0</v>
      </c>
      <c r="M94" s="221">
        <f>INDEX(AUXILIAR!I16:I224,GAR2!$B$27)</f>
        <v>35490</v>
      </c>
      <c r="N94" s="75"/>
      <c r="O94" s="75"/>
      <c r="P94" s="1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s="4" customFormat="1" ht="12.75">
      <c r="A95" s="218">
        <f t="shared" si="4"/>
        <v>16</v>
      </c>
      <c r="B95" s="218">
        <f t="shared" si="5"/>
        <v>16</v>
      </c>
      <c r="C95" s="219">
        <f>IF($B42&gt;AUXILIAR!$G$50,0,INDEX(INDICES!$C$11:$K$178,GAR2!$B42,1))</f>
        <v>0</v>
      </c>
      <c r="D95" s="219">
        <f>IF($B42&gt;AUXILIAR!$G$50,0,INDEX(INDICES!$C$11:$K$178,GAR2!$B42,2))</f>
        <v>0</v>
      </c>
      <c r="E95" s="219">
        <f>IF($B42&gt;AUXILIAR!$G$50,0,INDEX(INDICES!$C$11:$K$178,GAR2!$B42,3))</f>
        <v>0</v>
      </c>
      <c r="F95" s="219">
        <f>IF($B42&gt;AUXILIAR!$G$50,0,INDEX(INDICES!$C$11:$K$178,GAR2!$B42,4))</f>
        <v>0</v>
      </c>
      <c r="G95" s="219">
        <f>IF($B42&gt;AUXILIAR!$G$50,0,INDEX(INDICES!$C$11:$K$178,GAR2!$B42,5))</f>
        <v>0</v>
      </c>
      <c r="H95" s="219">
        <f>IF($B42&gt;AUXILIAR!$G$50,0,INDEX(INDICES!$C$11:$K$178,GAR2!$B42,6))</f>
        <v>0</v>
      </c>
      <c r="I95" s="219">
        <f>IF($B42&gt;AUXILIAR!$G$50,0,INDEX(INDICES!$C$11:$K$178,GAR2!$B42,7))</f>
        <v>0</v>
      </c>
      <c r="J95" s="219">
        <f>IF($B42&gt;AUXILIAR!$G$50,0,INDEX(INDICES!$C$11:$K$178,GAR2!$B42,8))</f>
        <v>0</v>
      </c>
      <c r="K95" s="219">
        <f>IF($B42&gt;AUXILIAR!$G$50,0,INDEX(INDICES!$C$11:$K$178,GAR2!$B42,9))</f>
        <v>0</v>
      </c>
      <c r="L95" s="220">
        <f>IF(AUXILIAR!$D$11=2,IF($B95&gt;AUXILIAR!$G$50,"",$C$19*C95/$D$22+$D$19*H95/$I$22+$E$19*D95/$E$22+$F$19*G95/$H$22+$G$19*K95/$L$22+$H$19*E95/$F$22+$I$19*F95/$G$22+$J$19*J95/$K$22+$K$19*I95/$J$22+$L$19),0)</f>
        <v>0</v>
      </c>
      <c r="M95" s="221">
        <f>INDEX(AUXILIAR!I17:I225,GAR2!$B$27)</f>
        <v>35521</v>
      </c>
      <c r="N95" s="75"/>
      <c r="O95" s="75"/>
      <c r="P95" s="1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s="4" customFormat="1" ht="12.75">
      <c r="A96" s="218">
        <f t="shared" si="4"/>
        <v>17</v>
      </c>
      <c r="B96" s="218">
        <f t="shared" si="5"/>
        <v>17</v>
      </c>
      <c r="C96" s="219">
        <f>IF($B43&gt;AUXILIAR!$G$50,0,INDEX(INDICES!$C$11:$K$178,GAR2!$B43,1))</f>
        <v>0</v>
      </c>
      <c r="D96" s="219">
        <f>IF($B43&gt;AUXILIAR!$G$50,0,INDEX(INDICES!$C$11:$K$178,GAR2!$B43,2))</f>
        <v>0</v>
      </c>
      <c r="E96" s="219">
        <f>IF($B43&gt;AUXILIAR!$G$50,0,INDEX(INDICES!$C$11:$K$178,GAR2!$B43,3))</f>
        <v>0</v>
      </c>
      <c r="F96" s="219">
        <f>IF($B43&gt;AUXILIAR!$G$50,0,INDEX(INDICES!$C$11:$K$178,GAR2!$B43,4))</f>
        <v>0</v>
      </c>
      <c r="G96" s="219">
        <f>IF($B43&gt;AUXILIAR!$G$50,0,INDEX(INDICES!$C$11:$K$178,GAR2!$B43,5))</f>
        <v>0</v>
      </c>
      <c r="H96" s="219">
        <f>IF($B43&gt;AUXILIAR!$G$50,0,INDEX(INDICES!$C$11:$K$178,GAR2!$B43,6))</f>
        <v>0</v>
      </c>
      <c r="I96" s="219">
        <f>IF($B43&gt;AUXILIAR!$G$50,0,INDEX(INDICES!$C$11:$K$178,GAR2!$B43,7))</f>
        <v>0</v>
      </c>
      <c r="J96" s="219">
        <f>IF($B43&gt;AUXILIAR!$G$50,0,INDEX(INDICES!$C$11:$K$178,GAR2!$B43,8))</f>
        <v>0</v>
      </c>
      <c r="K96" s="219">
        <f>IF($B43&gt;AUXILIAR!$G$50,0,INDEX(INDICES!$C$11:$K$178,GAR2!$B43,9))</f>
        <v>0</v>
      </c>
      <c r="L96" s="220">
        <f>IF(AUXILIAR!$D$11=2,IF($B96&gt;AUXILIAR!$G$50,"",$C$19*C96/$D$22+$D$19*H96/$I$22+$E$19*D96/$E$22+$F$19*G96/$H$22+$G$19*K96/$L$22+$H$19*E96/$F$22+$I$19*F96/$G$22+$J$19*J96/$K$22+$K$19*I96/$J$22+$L$19),0)</f>
        <v>0</v>
      </c>
      <c r="M96" s="221">
        <f>INDEX(AUXILIAR!I18:I226,GAR2!$B$27)</f>
        <v>35551</v>
      </c>
      <c r="N96" s="75"/>
      <c r="O96" s="75"/>
      <c r="P96" s="1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s="4" customFormat="1" ht="12.75">
      <c r="A97" s="218">
        <f t="shared" si="4"/>
        <v>18</v>
      </c>
      <c r="B97" s="218">
        <f t="shared" si="5"/>
        <v>18</v>
      </c>
      <c r="C97" s="219">
        <f>IF($B44&gt;AUXILIAR!$G$50,0,INDEX(INDICES!$C$11:$K$178,GAR2!$B44,1))</f>
        <v>0</v>
      </c>
      <c r="D97" s="219">
        <f>IF($B44&gt;AUXILIAR!$G$50,0,INDEX(INDICES!$C$11:$K$178,GAR2!$B44,2))</f>
        <v>0</v>
      </c>
      <c r="E97" s="219">
        <f>IF($B44&gt;AUXILIAR!$G$50,0,INDEX(INDICES!$C$11:$K$178,GAR2!$B44,3))</f>
        <v>0</v>
      </c>
      <c r="F97" s="219">
        <f>IF($B44&gt;AUXILIAR!$G$50,0,INDEX(INDICES!$C$11:$K$178,GAR2!$B44,4))</f>
        <v>0</v>
      </c>
      <c r="G97" s="219">
        <f>IF($B44&gt;AUXILIAR!$G$50,0,INDEX(INDICES!$C$11:$K$178,GAR2!$B44,5))</f>
        <v>0</v>
      </c>
      <c r="H97" s="219">
        <f>IF($B44&gt;AUXILIAR!$G$50,0,INDEX(INDICES!$C$11:$K$178,GAR2!$B44,6))</f>
        <v>0</v>
      </c>
      <c r="I97" s="219">
        <f>IF($B44&gt;AUXILIAR!$G$50,0,INDEX(INDICES!$C$11:$K$178,GAR2!$B44,7))</f>
        <v>0</v>
      </c>
      <c r="J97" s="219">
        <f>IF($B44&gt;AUXILIAR!$G$50,0,INDEX(INDICES!$C$11:$K$178,GAR2!$B44,8))</f>
        <v>0</v>
      </c>
      <c r="K97" s="219">
        <f>IF($B44&gt;AUXILIAR!$G$50,0,INDEX(INDICES!$C$11:$K$178,GAR2!$B44,9))</f>
        <v>0</v>
      </c>
      <c r="L97" s="220">
        <f>IF(AUXILIAR!$D$11=2,IF($B97&gt;AUXILIAR!$G$50,"",$C$19*C97/$D$22+$D$19*H97/$I$22+$E$19*D97/$E$22+$F$19*G97/$H$22+$G$19*K97/$L$22+$H$19*E97/$F$22+$I$19*F97/$G$22+$J$19*J97/$K$22+$K$19*I97/$J$22+$L$19),0)</f>
        <v>0</v>
      </c>
      <c r="M97" s="221">
        <f>INDEX(AUXILIAR!I19:I227,GAR2!$B$27)</f>
        <v>35582</v>
      </c>
      <c r="N97" s="75"/>
      <c r="O97" s="75"/>
      <c r="P97" s="1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s="4" customFormat="1" ht="12.75">
      <c r="A98" s="218">
        <f t="shared" si="4"/>
        <v>19</v>
      </c>
      <c r="B98" s="218">
        <f t="shared" si="5"/>
        <v>19</v>
      </c>
      <c r="C98" s="219">
        <f>IF($B45&gt;AUXILIAR!$G$50,0,INDEX(INDICES!$C$11:$K$178,GAR2!$B45,1))</f>
        <v>0</v>
      </c>
      <c r="D98" s="219">
        <f>IF($B45&gt;AUXILIAR!$G$50,0,INDEX(INDICES!$C$11:$K$178,GAR2!$B45,2))</f>
        <v>0</v>
      </c>
      <c r="E98" s="219">
        <f>IF($B45&gt;AUXILIAR!$G$50,0,INDEX(INDICES!$C$11:$K$178,GAR2!$B45,3))</f>
        <v>0</v>
      </c>
      <c r="F98" s="219">
        <f>IF($B45&gt;AUXILIAR!$G$50,0,INDEX(INDICES!$C$11:$K$178,GAR2!$B45,4))</f>
        <v>0</v>
      </c>
      <c r="G98" s="219">
        <f>IF($B45&gt;AUXILIAR!$G$50,0,INDEX(INDICES!$C$11:$K$178,GAR2!$B45,5))</f>
        <v>0</v>
      </c>
      <c r="H98" s="219">
        <f>IF($B45&gt;AUXILIAR!$G$50,0,INDEX(INDICES!$C$11:$K$178,GAR2!$B45,6))</f>
        <v>0</v>
      </c>
      <c r="I98" s="219">
        <f>IF($B45&gt;AUXILIAR!$G$50,0,INDEX(INDICES!$C$11:$K$178,GAR2!$B45,7))</f>
        <v>0</v>
      </c>
      <c r="J98" s="219">
        <f>IF($B45&gt;AUXILIAR!$G$50,0,INDEX(INDICES!$C$11:$K$178,GAR2!$B45,8))</f>
        <v>0</v>
      </c>
      <c r="K98" s="219">
        <f>IF($B45&gt;AUXILIAR!$G$50,0,INDEX(INDICES!$C$11:$K$178,GAR2!$B45,9))</f>
        <v>0</v>
      </c>
      <c r="L98" s="220">
        <f>IF(AUXILIAR!$D$11=2,IF($B98&gt;AUXILIAR!$G$50,"",$C$19*C98/$D$22+$D$19*H98/$I$22+$E$19*D98/$E$22+$F$19*G98/$H$22+$G$19*K98/$L$22+$H$19*E98/$F$22+$I$19*F98/$G$22+$J$19*J98/$K$22+$K$19*I98/$J$22+$L$19),0)</f>
        <v>0</v>
      </c>
      <c r="M98" s="221">
        <f>INDEX(AUXILIAR!I20:I228,GAR2!$B$27)</f>
        <v>35612</v>
      </c>
      <c r="N98" s="75"/>
      <c r="O98" s="75"/>
      <c r="P98" s="1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s="4" customFormat="1" ht="12.75">
      <c r="A99" s="218">
        <f t="shared" si="4"/>
        <v>20</v>
      </c>
      <c r="B99" s="218">
        <f t="shared" si="5"/>
        <v>20</v>
      </c>
      <c r="C99" s="219">
        <f>IF($B46&gt;AUXILIAR!$G$50,0,INDEX(INDICES!$C$11:$K$178,GAR2!$B46,1))</f>
        <v>0</v>
      </c>
      <c r="D99" s="219">
        <f>IF($B46&gt;AUXILIAR!$G$50,0,INDEX(INDICES!$C$11:$K$178,GAR2!$B46,2))</f>
        <v>0</v>
      </c>
      <c r="E99" s="219">
        <f>IF($B46&gt;AUXILIAR!$G$50,0,INDEX(INDICES!$C$11:$K$178,GAR2!$B46,3))</f>
        <v>0</v>
      </c>
      <c r="F99" s="219">
        <f>IF($B46&gt;AUXILIAR!$G$50,0,INDEX(INDICES!$C$11:$K$178,GAR2!$B46,4))</f>
        <v>0</v>
      </c>
      <c r="G99" s="219">
        <f>IF($B46&gt;AUXILIAR!$G$50,0,INDEX(INDICES!$C$11:$K$178,GAR2!$B46,5))</f>
        <v>0</v>
      </c>
      <c r="H99" s="219">
        <f>IF($B46&gt;AUXILIAR!$G$50,0,INDEX(INDICES!$C$11:$K$178,GAR2!$B46,6))</f>
        <v>0</v>
      </c>
      <c r="I99" s="219">
        <f>IF($B46&gt;AUXILIAR!$G$50,0,INDEX(INDICES!$C$11:$K$178,GAR2!$B46,7))</f>
        <v>0</v>
      </c>
      <c r="J99" s="219">
        <f>IF($B46&gt;AUXILIAR!$G$50,0,INDEX(INDICES!$C$11:$K$178,GAR2!$B46,8))</f>
        <v>0</v>
      </c>
      <c r="K99" s="219">
        <f>IF($B46&gt;AUXILIAR!$G$50,0,INDEX(INDICES!$C$11:$K$178,GAR2!$B46,9))</f>
        <v>0</v>
      </c>
      <c r="L99" s="220">
        <f>IF(AUXILIAR!$D$11=2,IF($B99&gt;AUXILIAR!$G$50,"",$C$19*C99/$D$22+$D$19*H99/$I$22+$E$19*D99/$E$22+$F$19*G99/$H$22+$G$19*K99/$L$22+$H$19*E99/$F$22+$I$19*F99/$G$22+$J$19*J99/$K$22+$K$19*I99/$J$22+$L$19),0)</f>
        <v>0</v>
      </c>
      <c r="M99" s="221">
        <f>INDEX(AUXILIAR!I21:I229,GAR2!$B$27)</f>
        <v>35643</v>
      </c>
      <c r="N99" s="75"/>
      <c r="O99" s="75"/>
      <c r="P99" s="1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s="4" customFormat="1" ht="12.75">
      <c r="A100" s="218">
        <f t="shared" si="4"/>
        <v>21</v>
      </c>
      <c r="B100" s="218">
        <f t="shared" si="5"/>
        <v>21</v>
      </c>
      <c r="C100" s="219">
        <f>IF($B47&gt;AUXILIAR!$G$50,0,INDEX(INDICES!$C$11:$K$178,GAR2!$B47,1))</f>
        <v>0</v>
      </c>
      <c r="D100" s="219">
        <f>IF($B47&gt;AUXILIAR!$G$50,0,INDEX(INDICES!$C$11:$K$178,GAR2!$B47,2))</f>
        <v>0</v>
      </c>
      <c r="E100" s="219">
        <f>IF($B47&gt;AUXILIAR!$G$50,0,INDEX(INDICES!$C$11:$K$178,GAR2!$B47,3))</f>
        <v>0</v>
      </c>
      <c r="F100" s="219">
        <f>IF($B47&gt;AUXILIAR!$G$50,0,INDEX(INDICES!$C$11:$K$178,GAR2!$B47,4))</f>
        <v>0</v>
      </c>
      <c r="G100" s="219">
        <f>IF($B47&gt;AUXILIAR!$G$50,0,INDEX(INDICES!$C$11:$K$178,GAR2!$B47,5))</f>
        <v>0</v>
      </c>
      <c r="H100" s="219">
        <f>IF($B47&gt;AUXILIAR!$G$50,0,INDEX(INDICES!$C$11:$K$178,GAR2!$B47,6))</f>
        <v>0</v>
      </c>
      <c r="I100" s="219">
        <f>IF($B47&gt;AUXILIAR!$G$50,0,INDEX(INDICES!$C$11:$K$178,GAR2!$B47,7))</f>
        <v>0</v>
      </c>
      <c r="J100" s="219">
        <f>IF($B47&gt;AUXILIAR!$G$50,0,INDEX(INDICES!$C$11:$K$178,GAR2!$B47,8))</f>
        <v>0</v>
      </c>
      <c r="K100" s="219">
        <f>IF($B47&gt;AUXILIAR!$G$50,0,INDEX(INDICES!$C$11:$K$178,GAR2!$B47,9))</f>
        <v>0</v>
      </c>
      <c r="L100" s="220">
        <f>IF(AUXILIAR!$D$11=2,IF($B100&gt;AUXILIAR!$G$50,"",$C$19*C100/$D$22+$D$19*H100/$I$22+$E$19*D100/$E$22+$F$19*G100/$H$22+$G$19*K100/$L$22+$H$19*E100/$F$22+$I$19*F100/$G$22+$J$19*J100/$K$22+$K$19*I100/$J$22+$L$19),0)</f>
        <v>0</v>
      </c>
      <c r="M100" s="221">
        <f>INDEX(AUXILIAR!I22:I230,GAR2!$B$27)</f>
        <v>35674</v>
      </c>
      <c r="N100" s="75"/>
      <c r="O100" s="75"/>
      <c r="P100" s="1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s="4" customFormat="1" ht="12.75">
      <c r="A101" s="218">
        <f t="shared" si="4"/>
        <v>22</v>
      </c>
      <c r="B101" s="218">
        <f t="shared" si="5"/>
        <v>22</v>
      </c>
      <c r="C101" s="219">
        <f>IF($B48&gt;AUXILIAR!$G$50,0,INDEX(INDICES!$C$11:$K$178,GAR2!$B48,1))</f>
        <v>0</v>
      </c>
      <c r="D101" s="219">
        <f>IF($B48&gt;AUXILIAR!$G$50,0,INDEX(INDICES!$C$11:$K$178,GAR2!$B48,2))</f>
        <v>0</v>
      </c>
      <c r="E101" s="219">
        <f>IF($B48&gt;AUXILIAR!$G$50,0,INDEX(INDICES!$C$11:$K$178,GAR2!$B48,3))</f>
        <v>0</v>
      </c>
      <c r="F101" s="219">
        <f>IF($B48&gt;AUXILIAR!$G$50,0,INDEX(INDICES!$C$11:$K$178,GAR2!$B48,4))</f>
        <v>0</v>
      </c>
      <c r="G101" s="219">
        <f>IF($B48&gt;AUXILIAR!$G$50,0,INDEX(INDICES!$C$11:$K$178,GAR2!$B48,5))</f>
        <v>0</v>
      </c>
      <c r="H101" s="219">
        <f>IF($B48&gt;AUXILIAR!$G$50,0,INDEX(INDICES!$C$11:$K$178,GAR2!$B48,6))</f>
        <v>0</v>
      </c>
      <c r="I101" s="219">
        <f>IF($B48&gt;AUXILIAR!$G$50,0,INDEX(INDICES!$C$11:$K$178,GAR2!$B48,7))</f>
        <v>0</v>
      </c>
      <c r="J101" s="219">
        <f>IF($B48&gt;AUXILIAR!$G$50,0,INDEX(INDICES!$C$11:$K$178,GAR2!$B48,8))</f>
        <v>0</v>
      </c>
      <c r="K101" s="219">
        <f>IF($B48&gt;AUXILIAR!$G$50,0,INDEX(INDICES!$C$11:$K$178,GAR2!$B48,9))</f>
        <v>0</v>
      </c>
      <c r="L101" s="220">
        <f>IF(AUXILIAR!$D$11=2,IF($B101&gt;AUXILIAR!$G$50,"",$C$19*C101/$D$22+$D$19*H101/$I$22+$E$19*D101/$E$22+$F$19*G101/$H$22+$G$19*K101/$L$22+$H$19*E101/$F$22+$I$19*F101/$G$22+$J$19*J101/$K$22+$K$19*I101/$J$22+$L$19),0)</f>
        <v>0</v>
      </c>
      <c r="M101" s="221">
        <f>INDEX(AUXILIAR!I23:I231,GAR2!$B$27)</f>
        <v>35704</v>
      </c>
      <c r="N101" s="75"/>
      <c r="O101" s="75"/>
      <c r="P101" s="1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s="4" customFormat="1" ht="12.75">
      <c r="A102" s="218">
        <f t="shared" si="4"/>
        <v>23</v>
      </c>
      <c r="B102" s="218">
        <f t="shared" si="5"/>
        <v>23</v>
      </c>
      <c r="C102" s="219">
        <f>IF($B49&gt;AUXILIAR!$G$50,0,INDEX(INDICES!$C$11:$K$178,GAR2!$B49,1))</f>
        <v>0</v>
      </c>
      <c r="D102" s="219">
        <f>IF($B49&gt;AUXILIAR!$G$50,0,INDEX(INDICES!$C$11:$K$178,GAR2!$B49,2))</f>
        <v>0</v>
      </c>
      <c r="E102" s="219">
        <f>IF($B49&gt;AUXILIAR!$G$50,0,INDEX(INDICES!$C$11:$K$178,GAR2!$B49,3))</f>
        <v>0</v>
      </c>
      <c r="F102" s="219">
        <f>IF($B49&gt;AUXILIAR!$G$50,0,INDEX(INDICES!$C$11:$K$178,GAR2!$B49,4))</f>
        <v>0</v>
      </c>
      <c r="G102" s="219">
        <f>IF($B49&gt;AUXILIAR!$G$50,0,INDEX(INDICES!$C$11:$K$178,GAR2!$B49,5))</f>
        <v>0</v>
      </c>
      <c r="H102" s="219">
        <f>IF($B49&gt;AUXILIAR!$G$50,0,INDEX(INDICES!$C$11:$K$178,GAR2!$B49,6))</f>
        <v>0</v>
      </c>
      <c r="I102" s="219">
        <f>IF($B49&gt;AUXILIAR!$G$50,0,INDEX(INDICES!$C$11:$K$178,GAR2!$B49,7))</f>
        <v>0</v>
      </c>
      <c r="J102" s="219">
        <f>IF($B49&gt;AUXILIAR!$G$50,0,INDEX(INDICES!$C$11:$K$178,GAR2!$B49,8))</f>
        <v>0</v>
      </c>
      <c r="K102" s="219">
        <f>IF($B49&gt;AUXILIAR!$G$50,0,INDEX(INDICES!$C$11:$K$178,GAR2!$B49,9))</f>
        <v>0</v>
      </c>
      <c r="L102" s="220">
        <f>IF(AUXILIAR!$D$11=2,IF($B102&gt;AUXILIAR!$G$50,"",$C$19*C102/$D$22+$D$19*H102/$I$22+$E$19*D102/$E$22+$F$19*G102/$H$22+$G$19*K102/$L$22+$H$19*E102/$F$22+$I$19*F102/$G$22+$J$19*J102/$K$22+$K$19*I102/$J$22+$L$19),0)</f>
        <v>0</v>
      </c>
      <c r="M102" s="221">
        <f>INDEX(AUXILIAR!I24:I232,GAR2!$B$27)</f>
        <v>35735</v>
      </c>
      <c r="N102" s="75"/>
      <c r="O102" s="75"/>
      <c r="P102" s="1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s="4" customFormat="1" ht="12.75">
      <c r="A103" s="218">
        <f t="shared" si="4"/>
        <v>24</v>
      </c>
      <c r="B103" s="218">
        <f t="shared" si="5"/>
        <v>24</v>
      </c>
      <c r="C103" s="219">
        <f>IF($B50&gt;AUXILIAR!$G$50,0,INDEX(INDICES!$C$11:$K$178,GAR2!$B50,1))</f>
        <v>0</v>
      </c>
      <c r="D103" s="219">
        <f>IF($B50&gt;AUXILIAR!$G$50,0,INDEX(INDICES!$C$11:$K$178,GAR2!$B50,2))</f>
        <v>0</v>
      </c>
      <c r="E103" s="219">
        <f>IF($B50&gt;AUXILIAR!$G$50,0,INDEX(INDICES!$C$11:$K$178,GAR2!$B50,3))</f>
        <v>0</v>
      </c>
      <c r="F103" s="219">
        <f>IF($B50&gt;AUXILIAR!$G$50,0,INDEX(INDICES!$C$11:$K$178,GAR2!$B50,4))</f>
        <v>0</v>
      </c>
      <c r="G103" s="219">
        <f>IF($B50&gt;AUXILIAR!$G$50,0,INDEX(INDICES!$C$11:$K$178,GAR2!$B50,5))</f>
        <v>0</v>
      </c>
      <c r="H103" s="219">
        <f>IF($B50&gt;AUXILIAR!$G$50,0,INDEX(INDICES!$C$11:$K$178,GAR2!$B50,6))</f>
        <v>0</v>
      </c>
      <c r="I103" s="219">
        <f>IF($B50&gt;AUXILIAR!$G$50,0,INDEX(INDICES!$C$11:$K$178,GAR2!$B50,7))</f>
        <v>0</v>
      </c>
      <c r="J103" s="219">
        <f>IF($B50&gt;AUXILIAR!$G$50,0,INDEX(INDICES!$C$11:$K$178,GAR2!$B50,8))</f>
        <v>0</v>
      </c>
      <c r="K103" s="219">
        <f>IF($B50&gt;AUXILIAR!$G$50,0,INDEX(INDICES!$C$11:$K$178,GAR2!$B50,9))</f>
        <v>0</v>
      </c>
      <c r="L103" s="220">
        <f>IF(AUXILIAR!$D$11=2,IF($B103&gt;AUXILIAR!$G$50,"",$C$19*C103/$D$22+$D$19*H103/$I$22+$E$19*D103/$E$22+$F$19*G103/$H$22+$G$19*K103/$L$22+$H$19*E103/$F$22+$I$19*F103/$G$22+$J$19*J103/$K$22+$K$19*I103/$J$22+$L$19),0)</f>
        <v>0</v>
      </c>
      <c r="M103" s="221">
        <f>INDEX(AUXILIAR!I25:I233,GAR2!$B$27)</f>
        <v>35765</v>
      </c>
      <c r="N103" s="75"/>
      <c r="O103" s="75"/>
      <c r="P103" s="1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s="4" customFormat="1" ht="12.75">
      <c r="A104" s="218">
        <f t="shared" si="4"/>
        <v>25</v>
      </c>
      <c r="B104" s="218">
        <f t="shared" si="5"/>
        <v>25</v>
      </c>
      <c r="C104" s="219">
        <f>IF($B51&gt;AUXILIAR!$G$50,0,INDEX(INDICES!$C$11:$K$178,GAR2!$B51,1))</f>
        <v>0</v>
      </c>
      <c r="D104" s="219">
        <f>IF($B51&gt;AUXILIAR!$G$50,0,INDEX(INDICES!$C$11:$K$178,GAR2!$B51,2))</f>
        <v>0</v>
      </c>
      <c r="E104" s="219">
        <f>IF($B51&gt;AUXILIAR!$G$50,0,INDEX(INDICES!$C$11:$K$178,GAR2!$B51,3))</f>
        <v>0</v>
      </c>
      <c r="F104" s="219">
        <f>IF($B51&gt;AUXILIAR!$G$50,0,INDEX(INDICES!$C$11:$K$178,GAR2!$B51,4))</f>
        <v>0</v>
      </c>
      <c r="G104" s="219">
        <f>IF($B51&gt;AUXILIAR!$G$50,0,INDEX(INDICES!$C$11:$K$178,GAR2!$B51,5))</f>
        <v>0</v>
      </c>
      <c r="H104" s="219">
        <f>IF($B51&gt;AUXILIAR!$G$50,0,INDEX(INDICES!$C$11:$K$178,GAR2!$B51,6))</f>
        <v>0</v>
      </c>
      <c r="I104" s="219">
        <f>IF($B51&gt;AUXILIAR!$G$50,0,INDEX(INDICES!$C$11:$K$178,GAR2!$B51,7))</f>
        <v>0</v>
      </c>
      <c r="J104" s="219">
        <f>IF($B51&gt;AUXILIAR!$G$50,0,INDEX(INDICES!$C$11:$K$178,GAR2!$B51,8))</f>
        <v>0</v>
      </c>
      <c r="K104" s="219">
        <f>IF($B51&gt;AUXILIAR!$G$50,0,INDEX(INDICES!$C$11:$K$178,GAR2!$B51,9))</f>
        <v>0</v>
      </c>
      <c r="L104" s="220">
        <f>IF(AUXILIAR!$D$11=2,IF($B104&gt;AUXILIAR!$G$50,"",$C$19*C104/$D$22+$D$19*H104/$I$22+$E$19*D104/$E$22+$F$19*G104/$H$22+$G$19*K104/$L$22+$H$19*E104/$F$22+$I$19*F104/$G$22+$J$19*J104/$K$22+$K$19*I104/$J$22+$L$19),0)</f>
        <v>0</v>
      </c>
      <c r="M104" s="221">
        <f>INDEX(AUXILIAR!I26:I234,GAR2!$B$27)</f>
        <v>35796</v>
      </c>
      <c r="N104" s="75"/>
      <c r="O104" s="75"/>
      <c r="P104" s="1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s="4" customFormat="1" ht="12.75">
      <c r="A105" s="218">
        <f t="shared" si="4"/>
        <v>26</v>
      </c>
      <c r="B105" s="218">
        <f t="shared" si="5"/>
        <v>26</v>
      </c>
      <c r="C105" s="219">
        <f>IF($B52&gt;AUXILIAR!$G$50,0,INDEX(INDICES!$C$11:$K$178,GAR2!$B52,1))</f>
        <v>0</v>
      </c>
      <c r="D105" s="219">
        <f>IF($B52&gt;AUXILIAR!$G$50,0,INDEX(INDICES!$C$11:$K$178,GAR2!$B52,2))</f>
        <v>0</v>
      </c>
      <c r="E105" s="219">
        <f>IF($B52&gt;AUXILIAR!$G$50,0,INDEX(INDICES!$C$11:$K$178,GAR2!$B52,3))</f>
        <v>0</v>
      </c>
      <c r="F105" s="219">
        <f>IF($B52&gt;AUXILIAR!$G$50,0,INDEX(INDICES!$C$11:$K$178,GAR2!$B52,4))</f>
        <v>0</v>
      </c>
      <c r="G105" s="219">
        <f>IF($B52&gt;AUXILIAR!$G$50,0,INDEX(INDICES!$C$11:$K$178,GAR2!$B52,5))</f>
        <v>0</v>
      </c>
      <c r="H105" s="219">
        <f>IF($B52&gt;AUXILIAR!$G$50,0,INDEX(INDICES!$C$11:$K$178,GAR2!$B52,6))</f>
        <v>0</v>
      </c>
      <c r="I105" s="219">
        <f>IF($B52&gt;AUXILIAR!$G$50,0,INDEX(INDICES!$C$11:$K$178,GAR2!$B52,7))</f>
        <v>0</v>
      </c>
      <c r="J105" s="219">
        <f>IF($B52&gt;AUXILIAR!$G$50,0,INDEX(INDICES!$C$11:$K$178,GAR2!$B52,8))</f>
        <v>0</v>
      </c>
      <c r="K105" s="219">
        <f>IF($B52&gt;AUXILIAR!$G$50,0,INDEX(INDICES!$C$11:$K$178,GAR2!$B52,9))</f>
        <v>0</v>
      </c>
      <c r="L105" s="220">
        <f>IF(AUXILIAR!$D$11=2,IF($B105&gt;AUXILIAR!$G$50,"",$C$19*C105/$D$22+$D$19*H105/$I$22+$E$19*D105/$E$22+$F$19*G105/$H$22+$G$19*K105/$L$22+$H$19*E105/$F$22+$I$19*F105/$G$22+$J$19*J105/$K$22+$K$19*I105/$J$22+$L$19),0)</f>
        <v>0</v>
      </c>
      <c r="M105" s="221">
        <f>INDEX(AUXILIAR!I27:I235,GAR2!$B$27)</f>
        <v>35827</v>
      </c>
      <c r="N105" s="75"/>
      <c r="O105" s="75"/>
      <c r="P105" s="1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s="4" customFormat="1" ht="12.75">
      <c r="A106" s="218">
        <f t="shared" si="4"/>
        <v>27</v>
      </c>
      <c r="B106" s="218">
        <f t="shared" si="5"/>
        <v>27</v>
      </c>
      <c r="C106" s="219">
        <f>IF($B53&gt;AUXILIAR!$G$50,0,INDEX(INDICES!$C$11:$K$178,GAR2!$B53,1))</f>
        <v>0</v>
      </c>
      <c r="D106" s="219">
        <f>IF($B53&gt;AUXILIAR!$G$50,0,INDEX(INDICES!$C$11:$K$178,GAR2!$B53,2))</f>
        <v>0</v>
      </c>
      <c r="E106" s="219">
        <f>IF($B53&gt;AUXILIAR!$G$50,0,INDEX(INDICES!$C$11:$K$178,GAR2!$B53,3))</f>
        <v>0</v>
      </c>
      <c r="F106" s="219">
        <f>IF($B53&gt;AUXILIAR!$G$50,0,INDEX(INDICES!$C$11:$K$178,GAR2!$B53,4))</f>
        <v>0</v>
      </c>
      <c r="G106" s="219">
        <f>IF($B53&gt;AUXILIAR!$G$50,0,INDEX(INDICES!$C$11:$K$178,GAR2!$B53,5))</f>
        <v>0</v>
      </c>
      <c r="H106" s="219">
        <f>IF($B53&gt;AUXILIAR!$G$50,0,INDEX(INDICES!$C$11:$K$178,GAR2!$B53,6))</f>
        <v>0</v>
      </c>
      <c r="I106" s="219">
        <f>IF($B53&gt;AUXILIAR!$G$50,0,INDEX(INDICES!$C$11:$K$178,GAR2!$B53,7))</f>
        <v>0</v>
      </c>
      <c r="J106" s="219">
        <f>IF($B53&gt;AUXILIAR!$G$50,0,INDEX(INDICES!$C$11:$K$178,GAR2!$B53,8))</f>
        <v>0</v>
      </c>
      <c r="K106" s="219">
        <f>IF($B53&gt;AUXILIAR!$G$50,0,INDEX(INDICES!$C$11:$K$178,GAR2!$B53,9))</f>
        <v>0</v>
      </c>
      <c r="L106" s="220">
        <f>IF(AUXILIAR!$D$11=2,IF($B106&gt;AUXILIAR!$G$50,"",$C$19*C106/$D$22+$D$19*H106/$I$22+$E$19*D106/$E$22+$F$19*G106/$H$22+$G$19*K106/$L$22+$H$19*E106/$F$22+$I$19*F106/$G$22+$J$19*J106/$K$22+$K$19*I106/$J$22+$L$19),0)</f>
        <v>0</v>
      </c>
      <c r="M106" s="221">
        <f>INDEX(AUXILIAR!I28:I236,GAR2!$B$27)</f>
        <v>35855</v>
      </c>
      <c r="N106" s="75"/>
      <c r="O106" s="75"/>
      <c r="P106" s="1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s="4" customFormat="1" ht="12.75">
      <c r="A107" s="218">
        <f t="shared" si="4"/>
        <v>28</v>
      </c>
      <c r="B107" s="218">
        <f t="shared" si="5"/>
        <v>28</v>
      </c>
      <c r="C107" s="219">
        <f>IF($B54&gt;AUXILIAR!$G$50,0,INDEX(INDICES!$C$11:$K$178,GAR2!$B54,1))</f>
        <v>0</v>
      </c>
      <c r="D107" s="219">
        <f>IF($B54&gt;AUXILIAR!$G$50,0,INDEX(INDICES!$C$11:$K$178,GAR2!$B54,2))</f>
        <v>0</v>
      </c>
      <c r="E107" s="219">
        <f>IF($B54&gt;AUXILIAR!$G$50,0,INDEX(INDICES!$C$11:$K$178,GAR2!$B54,3))</f>
        <v>0</v>
      </c>
      <c r="F107" s="219">
        <f>IF($B54&gt;AUXILIAR!$G$50,0,INDEX(INDICES!$C$11:$K$178,GAR2!$B54,4))</f>
        <v>0</v>
      </c>
      <c r="G107" s="219">
        <f>IF($B54&gt;AUXILIAR!$G$50,0,INDEX(INDICES!$C$11:$K$178,GAR2!$B54,5))</f>
        <v>0</v>
      </c>
      <c r="H107" s="219">
        <f>IF($B54&gt;AUXILIAR!$G$50,0,INDEX(INDICES!$C$11:$K$178,GAR2!$B54,6))</f>
        <v>0</v>
      </c>
      <c r="I107" s="219">
        <f>IF($B54&gt;AUXILIAR!$G$50,0,INDEX(INDICES!$C$11:$K$178,GAR2!$B54,7))</f>
        <v>0</v>
      </c>
      <c r="J107" s="219">
        <f>IF($B54&gt;AUXILIAR!$G$50,0,INDEX(INDICES!$C$11:$K$178,GAR2!$B54,8))</f>
        <v>0</v>
      </c>
      <c r="K107" s="219">
        <f>IF($B54&gt;AUXILIAR!$G$50,0,INDEX(INDICES!$C$11:$K$178,GAR2!$B54,9))</f>
        <v>0</v>
      </c>
      <c r="L107" s="220">
        <f>IF(AUXILIAR!$D$11=2,IF($B107&gt;AUXILIAR!$G$50,"",$C$19*C107/$D$22+$D$19*H107/$I$22+$E$19*D107/$E$22+$F$19*G107/$H$22+$G$19*K107/$L$22+$H$19*E107/$F$22+$I$19*F107/$G$22+$J$19*J107/$K$22+$K$19*I107/$J$22+$L$19),0)</f>
        <v>0</v>
      </c>
      <c r="M107" s="221">
        <f>INDEX(AUXILIAR!I29:I237,GAR2!$B$27)</f>
        <v>35886</v>
      </c>
      <c r="N107" s="75"/>
      <c r="O107" s="75"/>
      <c r="P107" s="1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s="4" customFormat="1" ht="12.75">
      <c r="A108" s="218">
        <f t="shared" si="4"/>
        <v>29</v>
      </c>
      <c r="B108" s="218">
        <f t="shared" si="5"/>
        <v>29</v>
      </c>
      <c r="C108" s="219">
        <f>IF($B55&gt;AUXILIAR!$G$50,0,INDEX(INDICES!$C$11:$K$178,GAR2!$B55,1))</f>
        <v>0</v>
      </c>
      <c r="D108" s="219">
        <f>IF($B55&gt;AUXILIAR!$G$50,0,INDEX(INDICES!$C$11:$K$178,GAR2!$B55,2))</f>
        <v>0</v>
      </c>
      <c r="E108" s="219">
        <f>IF($B55&gt;AUXILIAR!$G$50,0,INDEX(INDICES!$C$11:$K$178,GAR2!$B55,3))</f>
        <v>0</v>
      </c>
      <c r="F108" s="219">
        <f>IF($B55&gt;AUXILIAR!$G$50,0,INDEX(INDICES!$C$11:$K$178,GAR2!$B55,4))</f>
        <v>0</v>
      </c>
      <c r="G108" s="219">
        <f>IF($B55&gt;AUXILIAR!$G$50,0,INDEX(INDICES!$C$11:$K$178,GAR2!$B55,5))</f>
        <v>0</v>
      </c>
      <c r="H108" s="219">
        <f>IF($B55&gt;AUXILIAR!$G$50,0,INDEX(INDICES!$C$11:$K$178,GAR2!$B55,6))</f>
        <v>0</v>
      </c>
      <c r="I108" s="219">
        <f>IF($B55&gt;AUXILIAR!$G$50,0,INDEX(INDICES!$C$11:$K$178,GAR2!$B55,7))</f>
        <v>0</v>
      </c>
      <c r="J108" s="219">
        <f>IF($B55&gt;AUXILIAR!$G$50,0,INDEX(INDICES!$C$11:$K$178,GAR2!$B55,8))</f>
        <v>0</v>
      </c>
      <c r="K108" s="219">
        <f>IF($B55&gt;AUXILIAR!$G$50,0,INDEX(INDICES!$C$11:$K$178,GAR2!$B55,9))</f>
        <v>0</v>
      </c>
      <c r="L108" s="220">
        <f>IF(AUXILIAR!$D$11=2,IF($B108&gt;AUXILIAR!$G$50,"",$C$19*C108/$D$22+$D$19*H108/$I$22+$E$19*D108/$E$22+$F$19*G108/$H$22+$G$19*K108/$L$22+$H$19*E108/$F$22+$I$19*F108/$G$22+$J$19*J108/$K$22+$K$19*I108/$J$22+$L$19),0)</f>
        <v>0</v>
      </c>
      <c r="M108" s="221">
        <f>INDEX(AUXILIAR!I30:I238,GAR2!$B$27)</f>
        <v>35916</v>
      </c>
      <c r="N108" s="75"/>
      <c r="O108" s="75"/>
      <c r="P108" s="1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s="4" customFormat="1" ht="12.75">
      <c r="A109" s="218">
        <f t="shared" si="4"/>
        <v>30</v>
      </c>
      <c r="B109" s="218">
        <f t="shared" si="5"/>
        <v>30</v>
      </c>
      <c r="C109" s="219">
        <f>IF($B56&gt;AUXILIAR!$G$50,0,INDEX(INDICES!$C$11:$K$178,GAR2!$B56,1))</f>
        <v>0</v>
      </c>
      <c r="D109" s="219">
        <f>IF($B56&gt;AUXILIAR!$G$50,0,INDEX(INDICES!$C$11:$K$178,GAR2!$B56,2))</f>
        <v>0</v>
      </c>
      <c r="E109" s="219">
        <f>IF($B56&gt;AUXILIAR!$G$50,0,INDEX(INDICES!$C$11:$K$178,GAR2!$B56,3))</f>
        <v>0</v>
      </c>
      <c r="F109" s="219">
        <f>IF($B56&gt;AUXILIAR!$G$50,0,INDEX(INDICES!$C$11:$K$178,GAR2!$B56,4))</f>
        <v>0</v>
      </c>
      <c r="G109" s="219">
        <f>IF($B56&gt;AUXILIAR!$G$50,0,INDEX(INDICES!$C$11:$K$178,GAR2!$B56,5))</f>
        <v>0</v>
      </c>
      <c r="H109" s="219">
        <f>IF($B56&gt;AUXILIAR!$G$50,0,INDEX(INDICES!$C$11:$K$178,GAR2!$B56,6))</f>
        <v>0</v>
      </c>
      <c r="I109" s="219">
        <f>IF($B56&gt;AUXILIAR!$G$50,0,INDEX(INDICES!$C$11:$K$178,GAR2!$B56,7))</f>
        <v>0</v>
      </c>
      <c r="J109" s="219">
        <f>IF($B56&gt;AUXILIAR!$G$50,0,INDEX(INDICES!$C$11:$K$178,GAR2!$B56,8))</f>
        <v>0</v>
      </c>
      <c r="K109" s="219">
        <f>IF($B56&gt;AUXILIAR!$G$50,0,INDEX(INDICES!$C$11:$K$178,GAR2!$B56,9))</f>
        <v>0</v>
      </c>
      <c r="L109" s="220">
        <f>IF(AUXILIAR!$D$11=2,IF($B109&gt;AUXILIAR!$G$50,"",$C$19*C109/$D$22+$D$19*H109/$I$22+$E$19*D109/$E$22+$F$19*G109/$H$22+$G$19*K109/$L$22+$H$19*E109/$F$22+$I$19*F109/$G$22+$J$19*J109/$K$22+$K$19*I109/$J$22+$L$19),0)</f>
        <v>0</v>
      </c>
      <c r="M109" s="221">
        <f>INDEX(AUXILIAR!I31:I239,GAR2!$B$27)</f>
        <v>35947</v>
      </c>
      <c r="N109" s="75"/>
      <c r="O109" s="75"/>
      <c r="P109" s="1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s="4" customFormat="1" ht="12.75">
      <c r="A110" s="218">
        <f t="shared" si="4"/>
        <v>31</v>
      </c>
      <c r="B110" s="218">
        <f t="shared" si="5"/>
        <v>31</v>
      </c>
      <c r="C110" s="219">
        <f>IF($B57&gt;AUXILIAR!$G$50,0,INDEX(INDICES!$C$11:$K$178,GAR2!$B57,1))</f>
        <v>0</v>
      </c>
      <c r="D110" s="219">
        <f>IF($B57&gt;AUXILIAR!$G$50,0,INDEX(INDICES!$C$11:$K$178,GAR2!$B57,2))</f>
        <v>0</v>
      </c>
      <c r="E110" s="219">
        <f>IF($B57&gt;AUXILIAR!$G$50,0,INDEX(INDICES!$C$11:$K$178,GAR2!$B57,3))</f>
        <v>0</v>
      </c>
      <c r="F110" s="219">
        <f>IF($B57&gt;AUXILIAR!$G$50,0,INDEX(INDICES!$C$11:$K$178,GAR2!$B57,4))</f>
        <v>0</v>
      </c>
      <c r="G110" s="219">
        <f>IF($B57&gt;AUXILIAR!$G$50,0,INDEX(INDICES!$C$11:$K$178,GAR2!$B57,5))</f>
        <v>0</v>
      </c>
      <c r="H110" s="219">
        <f>IF($B57&gt;AUXILIAR!$G$50,0,INDEX(INDICES!$C$11:$K$178,GAR2!$B57,6))</f>
        <v>0</v>
      </c>
      <c r="I110" s="219">
        <f>IF($B57&gt;AUXILIAR!$G$50,0,INDEX(INDICES!$C$11:$K$178,GAR2!$B57,7))</f>
        <v>0</v>
      </c>
      <c r="J110" s="219">
        <f>IF($B57&gt;AUXILIAR!$G$50,0,INDEX(INDICES!$C$11:$K$178,GAR2!$B57,8))</f>
        <v>0</v>
      </c>
      <c r="K110" s="219">
        <f>IF($B57&gt;AUXILIAR!$G$50,0,INDEX(INDICES!$C$11:$K$178,GAR2!$B57,9))</f>
        <v>0</v>
      </c>
      <c r="L110" s="220">
        <f>IF(AUXILIAR!$D$11=2,IF($B110&gt;AUXILIAR!$G$50,"",$C$19*C110/$D$22+$D$19*H110/$I$22+$E$19*D110/$E$22+$F$19*G110/$H$22+$G$19*K110/$L$22+$H$19*E110/$F$22+$I$19*F110/$G$22+$J$19*J110/$K$22+$K$19*I110/$J$22+$L$19),0)</f>
        <v>0</v>
      </c>
      <c r="M110" s="221">
        <f>INDEX(AUXILIAR!I32:I240,GAR2!$B$27)</f>
        <v>35977</v>
      </c>
      <c r="N110" s="75"/>
      <c r="O110" s="75"/>
      <c r="P110" s="1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s="4" customFormat="1" ht="12.75">
      <c r="A111" s="218">
        <f t="shared" si="4"/>
        <v>32</v>
      </c>
      <c r="B111" s="218">
        <f t="shared" si="5"/>
        <v>32</v>
      </c>
      <c r="C111" s="219">
        <f>IF($B58&gt;AUXILIAR!$G$50,0,INDEX(INDICES!$C$11:$K$178,GAR2!$B58,1))</f>
        <v>0</v>
      </c>
      <c r="D111" s="219">
        <f>IF($B58&gt;AUXILIAR!$G$50,0,INDEX(INDICES!$C$11:$K$178,GAR2!$B58,2))</f>
        <v>0</v>
      </c>
      <c r="E111" s="219">
        <f>IF($B58&gt;AUXILIAR!$G$50,0,INDEX(INDICES!$C$11:$K$178,GAR2!$B58,3))</f>
        <v>0</v>
      </c>
      <c r="F111" s="219">
        <f>IF($B58&gt;AUXILIAR!$G$50,0,INDEX(INDICES!$C$11:$K$178,GAR2!$B58,4))</f>
        <v>0</v>
      </c>
      <c r="G111" s="219">
        <f>IF($B58&gt;AUXILIAR!$G$50,0,INDEX(INDICES!$C$11:$K$178,GAR2!$B58,5))</f>
        <v>0</v>
      </c>
      <c r="H111" s="219">
        <f>IF($B58&gt;AUXILIAR!$G$50,0,INDEX(INDICES!$C$11:$K$178,GAR2!$B58,6))</f>
        <v>0</v>
      </c>
      <c r="I111" s="219">
        <f>IF($B58&gt;AUXILIAR!$G$50,0,INDEX(INDICES!$C$11:$K$178,GAR2!$B58,7))</f>
        <v>0</v>
      </c>
      <c r="J111" s="219">
        <f>IF($B58&gt;AUXILIAR!$G$50,0,INDEX(INDICES!$C$11:$K$178,GAR2!$B58,8))</f>
        <v>0</v>
      </c>
      <c r="K111" s="219">
        <f>IF($B58&gt;AUXILIAR!$G$50,0,INDEX(INDICES!$C$11:$K$178,GAR2!$B58,9))</f>
        <v>0</v>
      </c>
      <c r="L111" s="220">
        <f>IF(AUXILIAR!$D$11=2,IF($B111&gt;AUXILIAR!$G$50,"",$C$19*C111/$D$22+$D$19*H111/$I$22+$E$19*D111/$E$22+$F$19*G111/$H$22+$G$19*K111/$L$22+$H$19*E111/$F$22+$I$19*F111/$G$22+$J$19*J111/$K$22+$K$19*I111/$J$22+$L$19),0)</f>
        <v>0</v>
      </c>
      <c r="M111" s="221">
        <f>INDEX(AUXILIAR!I33:I241,GAR2!$B$27)</f>
        <v>36008</v>
      </c>
      <c r="N111" s="75"/>
      <c r="O111" s="75"/>
      <c r="P111" s="1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s="4" customFormat="1" ht="12.75">
      <c r="A112" s="218">
        <f t="shared" si="4"/>
        <v>33</v>
      </c>
      <c r="B112" s="218">
        <f t="shared" si="5"/>
        <v>33</v>
      </c>
      <c r="C112" s="219">
        <f>IF($B59&gt;AUXILIAR!$G$50,0,INDEX(INDICES!$C$11:$K$178,GAR2!$B59,1))</f>
        <v>0</v>
      </c>
      <c r="D112" s="219">
        <f>IF($B59&gt;AUXILIAR!$G$50,0,INDEX(INDICES!$C$11:$K$178,GAR2!$B59,2))</f>
        <v>0</v>
      </c>
      <c r="E112" s="219">
        <f>IF($B59&gt;AUXILIAR!$G$50,0,INDEX(INDICES!$C$11:$K$178,GAR2!$B59,3))</f>
        <v>0</v>
      </c>
      <c r="F112" s="219">
        <f>IF($B59&gt;AUXILIAR!$G$50,0,INDEX(INDICES!$C$11:$K$178,GAR2!$B59,4))</f>
        <v>0</v>
      </c>
      <c r="G112" s="219">
        <f>IF($B59&gt;AUXILIAR!$G$50,0,INDEX(INDICES!$C$11:$K$178,GAR2!$B59,5))</f>
        <v>0</v>
      </c>
      <c r="H112" s="219">
        <f>IF($B59&gt;AUXILIAR!$G$50,0,INDEX(INDICES!$C$11:$K$178,GAR2!$B59,6))</f>
        <v>0</v>
      </c>
      <c r="I112" s="219">
        <f>IF($B59&gt;AUXILIAR!$G$50,0,INDEX(INDICES!$C$11:$K$178,GAR2!$B59,7))</f>
        <v>0</v>
      </c>
      <c r="J112" s="219">
        <f>IF($B59&gt;AUXILIAR!$G$50,0,INDEX(INDICES!$C$11:$K$178,GAR2!$B59,8))</f>
        <v>0</v>
      </c>
      <c r="K112" s="219">
        <f>IF($B59&gt;AUXILIAR!$G$50,0,INDEX(INDICES!$C$11:$K$178,GAR2!$B59,9))</f>
        <v>0</v>
      </c>
      <c r="L112" s="220">
        <f>IF(AUXILIAR!$D$11=2,IF($B112&gt;AUXILIAR!$G$50,"",$C$19*C112/$D$22+$D$19*H112/$I$22+$E$19*D112/$E$22+$F$19*G112/$H$22+$G$19*K112/$L$22+$H$19*E112/$F$22+$I$19*F112/$G$22+$J$19*J112/$K$22+$K$19*I112/$J$22+$L$19),0)</f>
        <v>0</v>
      </c>
      <c r="M112" s="221">
        <f>INDEX(AUXILIAR!I34:I242,GAR2!$B$27)</f>
        <v>36039</v>
      </c>
      <c r="N112" s="75"/>
      <c r="O112" s="75"/>
      <c r="P112" s="1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s="4" customFormat="1" ht="12.75">
      <c r="A113" s="218">
        <f aca="true" t="shared" si="6" ref="A113:A129">1+A112</f>
        <v>34</v>
      </c>
      <c r="B113" s="218">
        <f aca="true" t="shared" si="7" ref="B113:B129">B112+1</f>
        <v>34</v>
      </c>
      <c r="C113" s="219">
        <f>IF($B60&gt;AUXILIAR!$G$50,0,INDEX(INDICES!$C$11:$K$178,GAR2!$B60,1))</f>
        <v>0</v>
      </c>
      <c r="D113" s="219">
        <f>IF($B60&gt;AUXILIAR!$G$50,0,INDEX(INDICES!$C$11:$K$178,GAR2!$B60,2))</f>
        <v>0</v>
      </c>
      <c r="E113" s="219">
        <f>IF($B60&gt;AUXILIAR!$G$50,0,INDEX(INDICES!$C$11:$K$178,GAR2!$B60,3))</f>
        <v>0</v>
      </c>
      <c r="F113" s="219">
        <f>IF($B60&gt;AUXILIAR!$G$50,0,INDEX(INDICES!$C$11:$K$178,GAR2!$B60,4))</f>
        <v>0</v>
      </c>
      <c r="G113" s="219">
        <f>IF($B60&gt;AUXILIAR!$G$50,0,INDEX(INDICES!$C$11:$K$178,GAR2!$B60,5))</f>
        <v>0</v>
      </c>
      <c r="H113" s="219">
        <f>IF($B60&gt;AUXILIAR!$G$50,0,INDEX(INDICES!$C$11:$K$178,GAR2!$B60,6))</f>
        <v>0</v>
      </c>
      <c r="I113" s="219">
        <f>IF($B60&gt;AUXILIAR!$G$50,0,INDEX(INDICES!$C$11:$K$178,GAR2!$B60,7))</f>
        <v>0</v>
      </c>
      <c r="J113" s="219">
        <f>IF($B60&gt;AUXILIAR!$G$50,0,INDEX(INDICES!$C$11:$K$178,GAR2!$B60,8))</f>
        <v>0</v>
      </c>
      <c r="K113" s="219">
        <f>IF($B60&gt;AUXILIAR!$G$50,0,INDEX(INDICES!$C$11:$K$178,GAR2!$B60,9))</f>
        <v>0</v>
      </c>
      <c r="L113" s="220">
        <f>IF(AUXILIAR!$D$11=2,IF($B113&gt;AUXILIAR!$G$50,"",$C$19*C113/$D$22+$D$19*H113/$I$22+$E$19*D113/$E$22+$F$19*G113/$H$22+$G$19*K113/$L$22+$H$19*E113/$F$22+$I$19*F113/$G$22+$J$19*J113/$K$22+$K$19*I113/$J$22+$L$19),0)</f>
        <v>0</v>
      </c>
      <c r="M113" s="221">
        <f>INDEX(AUXILIAR!I35:I243,GAR2!$B$27)</f>
        <v>36069</v>
      </c>
      <c r="N113" s="75"/>
      <c r="O113" s="75"/>
      <c r="P113" s="1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s="4" customFormat="1" ht="12.75">
      <c r="A114" s="218">
        <f t="shared" si="6"/>
        <v>35</v>
      </c>
      <c r="B114" s="218">
        <f t="shared" si="7"/>
        <v>35</v>
      </c>
      <c r="C114" s="219">
        <f>IF($B61&gt;AUXILIAR!$G$50,0,INDEX(INDICES!$C$11:$K$178,GAR2!$B61,1))</f>
        <v>0</v>
      </c>
      <c r="D114" s="219">
        <f>IF($B61&gt;AUXILIAR!$G$50,0,INDEX(INDICES!$C$11:$K$178,GAR2!$B61,2))</f>
        <v>0</v>
      </c>
      <c r="E114" s="219">
        <f>IF($B61&gt;AUXILIAR!$G$50,0,INDEX(INDICES!$C$11:$K$178,GAR2!$B61,3))</f>
        <v>0</v>
      </c>
      <c r="F114" s="219">
        <f>IF($B61&gt;AUXILIAR!$G$50,0,INDEX(INDICES!$C$11:$K$178,GAR2!$B61,4))</f>
        <v>0</v>
      </c>
      <c r="G114" s="219">
        <f>IF($B61&gt;AUXILIAR!$G$50,0,INDEX(INDICES!$C$11:$K$178,GAR2!$B61,5))</f>
        <v>0</v>
      </c>
      <c r="H114" s="219">
        <f>IF($B61&gt;AUXILIAR!$G$50,0,INDEX(INDICES!$C$11:$K$178,GAR2!$B61,6))</f>
        <v>0</v>
      </c>
      <c r="I114" s="219">
        <f>IF($B61&gt;AUXILIAR!$G$50,0,INDEX(INDICES!$C$11:$K$178,GAR2!$B61,7))</f>
        <v>0</v>
      </c>
      <c r="J114" s="219">
        <f>IF($B61&gt;AUXILIAR!$G$50,0,INDEX(INDICES!$C$11:$K$178,GAR2!$B61,8))</f>
        <v>0</v>
      </c>
      <c r="K114" s="219">
        <f>IF($B61&gt;AUXILIAR!$G$50,0,INDEX(INDICES!$C$11:$K$178,GAR2!$B61,9))</f>
        <v>0</v>
      </c>
      <c r="L114" s="220">
        <f>IF(AUXILIAR!$D$11=2,IF($B114&gt;AUXILIAR!$G$50,"",$C$19*C114/$D$22+$D$19*H114/$I$22+$E$19*D114/$E$22+$F$19*G114/$H$22+$G$19*K114/$L$22+$H$19*E114/$F$22+$I$19*F114/$G$22+$J$19*J114/$K$22+$K$19*I114/$J$22+$L$19),0)</f>
        <v>0</v>
      </c>
      <c r="M114" s="221">
        <f>INDEX(AUXILIAR!I36:I244,GAR2!$B$27)</f>
        <v>36100</v>
      </c>
      <c r="N114" s="75"/>
      <c r="O114" s="75"/>
      <c r="P114" s="1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s="4" customFormat="1" ht="12.75">
      <c r="A115" s="218">
        <f t="shared" si="6"/>
        <v>36</v>
      </c>
      <c r="B115" s="218">
        <f t="shared" si="7"/>
        <v>36</v>
      </c>
      <c r="C115" s="219">
        <f>IF($B62&gt;AUXILIAR!$G$50,0,INDEX(INDICES!$C$11:$K$178,GAR2!$B62,1))</f>
        <v>0</v>
      </c>
      <c r="D115" s="219">
        <f>IF($B62&gt;AUXILIAR!$G$50,0,INDEX(INDICES!$C$11:$K$178,GAR2!$B62,2))</f>
        <v>0</v>
      </c>
      <c r="E115" s="219">
        <f>IF($B62&gt;AUXILIAR!$G$50,0,INDEX(INDICES!$C$11:$K$178,GAR2!$B62,3))</f>
        <v>0</v>
      </c>
      <c r="F115" s="219">
        <f>IF($B62&gt;AUXILIAR!$G$50,0,INDEX(INDICES!$C$11:$K$178,GAR2!$B62,4))</f>
        <v>0</v>
      </c>
      <c r="G115" s="219">
        <f>IF($B62&gt;AUXILIAR!$G$50,0,INDEX(INDICES!$C$11:$K$178,GAR2!$B62,5))</f>
        <v>0</v>
      </c>
      <c r="H115" s="219">
        <f>IF($B62&gt;AUXILIAR!$G$50,0,INDEX(INDICES!$C$11:$K$178,GAR2!$B62,6))</f>
        <v>0</v>
      </c>
      <c r="I115" s="219">
        <f>IF($B62&gt;AUXILIAR!$G$50,0,INDEX(INDICES!$C$11:$K$178,GAR2!$B62,7))</f>
        <v>0</v>
      </c>
      <c r="J115" s="219">
        <f>IF($B62&gt;AUXILIAR!$G$50,0,INDEX(INDICES!$C$11:$K$178,GAR2!$B62,8))</f>
        <v>0</v>
      </c>
      <c r="K115" s="219">
        <f>IF($B62&gt;AUXILIAR!$G$50,0,INDEX(INDICES!$C$11:$K$178,GAR2!$B62,9))</f>
        <v>0</v>
      </c>
      <c r="L115" s="220">
        <f>IF(AUXILIAR!$D$11=2,IF($B115&gt;AUXILIAR!$G$50,"",$C$19*C115/$D$22+$D$19*H115/$I$22+$E$19*D115/$E$22+$F$19*G115/$H$22+$G$19*K115/$L$22+$H$19*E115/$F$22+$I$19*F115/$G$22+$J$19*J115/$K$22+$K$19*I115/$J$22+$L$19),0)</f>
        <v>0</v>
      </c>
      <c r="M115" s="221">
        <f>INDEX(AUXILIAR!I37:I245,GAR2!$B$27)</f>
        <v>36130</v>
      </c>
      <c r="N115" s="75"/>
      <c r="O115" s="75"/>
      <c r="P115" s="1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s="4" customFormat="1" ht="12.75">
      <c r="A116" s="218">
        <f t="shared" si="6"/>
        <v>37</v>
      </c>
      <c r="B116" s="218">
        <f t="shared" si="7"/>
        <v>37</v>
      </c>
      <c r="C116" s="219">
        <f>IF($B63&gt;AUXILIAR!$G$50,0,INDEX(INDICES!$C$11:$K$178,GAR2!$B63,1))</f>
        <v>0</v>
      </c>
      <c r="D116" s="219">
        <f>IF($B63&gt;AUXILIAR!$G$50,0,INDEX(INDICES!$C$11:$K$178,GAR2!$B63,2))</f>
        <v>0</v>
      </c>
      <c r="E116" s="219">
        <f>IF($B63&gt;AUXILIAR!$G$50,0,INDEX(INDICES!$C$11:$K$178,GAR2!$B63,3))</f>
        <v>0</v>
      </c>
      <c r="F116" s="219">
        <f>IF($B63&gt;AUXILIAR!$G$50,0,INDEX(INDICES!$C$11:$K$178,GAR2!$B63,4))</f>
        <v>0</v>
      </c>
      <c r="G116" s="219">
        <f>IF($B63&gt;AUXILIAR!$G$50,0,INDEX(INDICES!$C$11:$K$178,GAR2!$B63,5))</f>
        <v>0</v>
      </c>
      <c r="H116" s="219">
        <f>IF($B63&gt;AUXILIAR!$G$50,0,INDEX(INDICES!$C$11:$K$178,GAR2!$B63,6))</f>
        <v>0</v>
      </c>
      <c r="I116" s="219">
        <f>IF($B63&gt;AUXILIAR!$G$50,0,INDEX(INDICES!$C$11:$K$178,GAR2!$B63,7))</f>
        <v>0</v>
      </c>
      <c r="J116" s="219">
        <f>IF($B63&gt;AUXILIAR!$G$50,0,INDEX(INDICES!$C$11:$K$178,GAR2!$B63,8))</f>
        <v>0</v>
      </c>
      <c r="K116" s="219">
        <f>IF($B63&gt;AUXILIAR!$G$50,0,INDEX(INDICES!$C$11:$K$178,GAR2!$B63,9))</f>
        <v>0</v>
      </c>
      <c r="L116" s="220">
        <f>IF(AUXILIAR!$D$11=2,IF($B116&gt;AUXILIAR!$G$50,"",$C$19*C116/$D$22+$D$19*H116/$I$22+$E$19*D116/$E$22+$F$19*G116/$H$22+$G$19*K116/$L$22+$H$19*E116/$F$22+$I$19*F116/$G$22+$J$19*J116/$K$22+$K$19*I116/$J$22+$L$19),0)</f>
        <v>0</v>
      </c>
      <c r="M116" s="221">
        <f>INDEX(AUXILIAR!I38:I246,GAR2!$B$27)</f>
        <v>36161</v>
      </c>
      <c r="N116" s="75"/>
      <c r="O116" s="75"/>
      <c r="P116" s="1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s="4" customFormat="1" ht="12.75">
      <c r="A117" s="218">
        <f t="shared" si="6"/>
        <v>38</v>
      </c>
      <c r="B117" s="218">
        <f t="shared" si="7"/>
        <v>38</v>
      </c>
      <c r="C117" s="219">
        <f>IF($B64&gt;AUXILIAR!$G$50,0,INDEX(INDICES!$C$11:$K$178,GAR2!$B64,1))</f>
        <v>0</v>
      </c>
      <c r="D117" s="219">
        <f>IF($B64&gt;AUXILIAR!$G$50,0,INDEX(INDICES!$C$11:$K$178,GAR2!$B64,2))</f>
        <v>0</v>
      </c>
      <c r="E117" s="219">
        <f>IF($B64&gt;AUXILIAR!$G$50,0,INDEX(INDICES!$C$11:$K$178,GAR2!$B64,3))</f>
        <v>0</v>
      </c>
      <c r="F117" s="219">
        <f>IF($B64&gt;AUXILIAR!$G$50,0,INDEX(INDICES!$C$11:$K$178,GAR2!$B64,4))</f>
        <v>0</v>
      </c>
      <c r="G117" s="219">
        <f>IF($B64&gt;AUXILIAR!$G$50,0,INDEX(INDICES!$C$11:$K$178,GAR2!$B64,5))</f>
        <v>0</v>
      </c>
      <c r="H117" s="219">
        <f>IF($B64&gt;AUXILIAR!$G$50,0,INDEX(INDICES!$C$11:$K$178,GAR2!$B64,6))</f>
        <v>0</v>
      </c>
      <c r="I117" s="219">
        <f>IF($B64&gt;AUXILIAR!$G$50,0,INDEX(INDICES!$C$11:$K$178,GAR2!$B64,7))</f>
        <v>0</v>
      </c>
      <c r="J117" s="219">
        <f>IF($B64&gt;AUXILIAR!$G$50,0,INDEX(INDICES!$C$11:$K$178,GAR2!$B64,8))</f>
        <v>0</v>
      </c>
      <c r="K117" s="219">
        <f>IF($B64&gt;AUXILIAR!$G$50,0,INDEX(INDICES!$C$11:$K$178,GAR2!$B64,9))</f>
        <v>0</v>
      </c>
      <c r="L117" s="220">
        <f>IF(AUXILIAR!$D$11=2,IF($B117&gt;AUXILIAR!$G$50,"",$C$19*C117/$D$22+$D$19*H117/$I$22+$E$19*D117/$E$22+$F$19*G117/$H$22+$G$19*K117/$L$22+$H$19*E117/$F$22+$I$19*F117/$G$22+$J$19*J117/$K$22+$K$19*I117/$J$22+$L$19),0)</f>
        <v>0</v>
      </c>
      <c r="M117" s="221">
        <f>INDEX(AUXILIAR!I39:I247,GAR2!$B$27)</f>
        <v>36192</v>
      </c>
      <c r="N117" s="75"/>
      <c r="O117" s="75"/>
      <c r="P117" s="1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s="4" customFormat="1" ht="12.75">
      <c r="A118" s="218">
        <f t="shared" si="6"/>
        <v>39</v>
      </c>
      <c r="B118" s="218">
        <f t="shared" si="7"/>
        <v>39</v>
      </c>
      <c r="C118" s="219">
        <f>IF($B65&gt;AUXILIAR!$G$50,0,INDEX(INDICES!$C$11:$K$178,GAR2!$B65,1))</f>
        <v>0</v>
      </c>
      <c r="D118" s="219">
        <f>IF($B65&gt;AUXILIAR!$G$50,0,INDEX(INDICES!$C$11:$K$178,GAR2!$B65,2))</f>
        <v>0</v>
      </c>
      <c r="E118" s="219">
        <f>IF($B65&gt;AUXILIAR!$G$50,0,INDEX(INDICES!$C$11:$K$178,GAR2!$B65,3))</f>
        <v>0</v>
      </c>
      <c r="F118" s="219">
        <f>IF($B65&gt;AUXILIAR!$G$50,0,INDEX(INDICES!$C$11:$K$178,GAR2!$B65,4))</f>
        <v>0</v>
      </c>
      <c r="G118" s="219">
        <f>IF($B65&gt;AUXILIAR!$G$50,0,INDEX(INDICES!$C$11:$K$178,GAR2!$B65,5))</f>
        <v>0</v>
      </c>
      <c r="H118" s="219">
        <f>IF($B65&gt;AUXILIAR!$G$50,0,INDEX(INDICES!$C$11:$K$178,GAR2!$B65,6))</f>
        <v>0</v>
      </c>
      <c r="I118" s="219">
        <f>IF($B65&gt;AUXILIAR!$G$50,0,INDEX(INDICES!$C$11:$K$178,GAR2!$B65,7))</f>
        <v>0</v>
      </c>
      <c r="J118" s="219">
        <f>IF($B65&gt;AUXILIAR!$G$50,0,INDEX(INDICES!$C$11:$K$178,GAR2!$B65,8))</f>
        <v>0</v>
      </c>
      <c r="K118" s="219">
        <f>IF($B65&gt;AUXILIAR!$G$50,0,INDEX(INDICES!$C$11:$K$178,GAR2!$B65,9))</f>
        <v>0</v>
      </c>
      <c r="L118" s="220">
        <f>IF(AUXILIAR!$D$11=2,IF($B118&gt;AUXILIAR!$G$50,"",$C$19*C118/$D$22+$D$19*H118/$I$22+$E$19*D118/$E$22+$F$19*G118/$H$22+$G$19*K118/$L$22+$H$19*E118/$F$22+$I$19*F118/$G$22+$J$19*J118/$K$22+$K$19*I118/$J$22+$L$19),0)</f>
        <v>0</v>
      </c>
      <c r="M118" s="221">
        <f>INDEX(AUXILIAR!I40:I248,GAR2!$B$27)</f>
        <v>36220</v>
      </c>
      <c r="N118" s="75"/>
      <c r="O118" s="75"/>
      <c r="P118" s="1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s="4" customFormat="1" ht="12.75">
      <c r="A119" s="218">
        <f t="shared" si="6"/>
        <v>40</v>
      </c>
      <c r="B119" s="218">
        <f t="shared" si="7"/>
        <v>40</v>
      </c>
      <c r="C119" s="219">
        <f>IF($B66&gt;AUXILIAR!$G$50,0,INDEX(INDICES!$C$11:$K$178,GAR2!$B66,1))</f>
        <v>0</v>
      </c>
      <c r="D119" s="219">
        <f>IF($B66&gt;AUXILIAR!$G$50,0,INDEX(INDICES!$C$11:$K$178,GAR2!$B66,2))</f>
        <v>0</v>
      </c>
      <c r="E119" s="219">
        <f>IF($B66&gt;AUXILIAR!$G$50,0,INDEX(INDICES!$C$11:$K$178,GAR2!$B66,3))</f>
        <v>0</v>
      </c>
      <c r="F119" s="219">
        <f>IF($B66&gt;AUXILIAR!$G$50,0,INDEX(INDICES!$C$11:$K$178,GAR2!$B66,4))</f>
        <v>0</v>
      </c>
      <c r="G119" s="219">
        <f>IF($B66&gt;AUXILIAR!$G$50,0,INDEX(INDICES!$C$11:$K$178,GAR2!$B66,5))</f>
        <v>0</v>
      </c>
      <c r="H119" s="219">
        <f>IF($B66&gt;AUXILIAR!$G$50,0,INDEX(INDICES!$C$11:$K$178,GAR2!$B66,6))</f>
        <v>0</v>
      </c>
      <c r="I119" s="219">
        <f>IF($B66&gt;AUXILIAR!$G$50,0,INDEX(INDICES!$C$11:$K$178,GAR2!$B66,7))</f>
        <v>0</v>
      </c>
      <c r="J119" s="219">
        <f>IF($B66&gt;AUXILIAR!$G$50,0,INDEX(INDICES!$C$11:$K$178,GAR2!$B66,8))</f>
        <v>0</v>
      </c>
      <c r="K119" s="219">
        <f>IF($B66&gt;AUXILIAR!$G$50,0,INDEX(INDICES!$C$11:$K$178,GAR2!$B66,9))</f>
        <v>0</v>
      </c>
      <c r="L119" s="220">
        <f>IF(AUXILIAR!$D$11=2,IF($B119&gt;AUXILIAR!$G$50,"",$C$19*C119/$D$22+$D$19*H119/$I$22+$E$19*D119/$E$22+$F$19*G119/$H$22+$G$19*K119/$L$22+$H$19*E119/$F$22+$I$19*F119/$G$22+$J$19*J119/$K$22+$K$19*I119/$J$22+$L$19),0)</f>
        <v>0</v>
      </c>
      <c r="M119" s="221">
        <f>INDEX(AUXILIAR!I41:I249,GAR2!$B$27)</f>
        <v>36251</v>
      </c>
      <c r="N119" s="75"/>
      <c r="O119" s="75"/>
      <c r="P119" s="1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s="4" customFormat="1" ht="12.75">
      <c r="A120" s="218">
        <f t="shared" si="6"/>
        <v>41</v>
      </c>
      <c r="B120" s="218">
        <f t="shared" si="7"/>
        <v>41</v>
      </c>
      <c r="C120" s="219">
        <f>IF($B67&gt;AUXILIAR!$G$50,0,INDEX(INDICES!$C$11:$K$178,GAR2!$B67,1))</f>
        <v>0</v>
      </c>
      <c r="D120" s="219">
        <f>IF($B67&gt;AUXILIAR!$G$50,0,INDEX(INDICES!$C$11:$K$178,GAR2!$B67,2))</f>
        <v>0</v>
      </c>
      <c r="E120" s="219">
        <f>IF($B67&gt;AUXILIAR!$G$50,0,INDEX(INDICES!$C$11:$K$178,GAR2!$B67,3))</f>
        <v>0</v>
      </c>
      <c r="F120" s="219">
        <f>IF($B67&gt;AUXILIAR!$G$50,0,INDEX(INDICES!$C$11:$K$178,GAR2!$B67,4))</f>
        <v>0</v>
      </c>
      <c r="G120" s="219">
        <f>IF($B67&gt;AUXILIAR!$G$50,0,INDEX(INDICES!$C$11:$K$178,GAR2!$B67,5))</f>
        <v>0</v>
      </c>
      <c r="H120" s="219">
        <f>IF($B67&gt;AUXILIAR!$G$50,0,INDEX(INDICES!$C$11:$K$178,GAR2!$B67,6))</f>
        <v>0</v>
      </c>
      <c r="I120" s="219">
        <f>IF($B67&gt;AUXILIAR!$G$50,0,INDEX(INDICES!$C$11:$K$178,GAR2!$B67,7))</f>
        <v>0</v>
      </c>
      <c r="J120" s="219">
        <f>IF($B67&gt;AUXILIAR!$G$50,0,INDEX(INDICES!$C$11:$K$178,GAR2!$B67,8))</f>
        <v>0</v>
      </c>
      <c r="K120" s="219">
        <f>IF($B67&gt;AUXILIAR!$G$50,0,INDEX(INDICES!$C$11:$K$178,GAR2!$B67,9))</f>
        <v>0</v>
      </c>
      <c r="L120" s="220">
        <f>IF(AUXILIAR!$D$11=2,IF($B120&gt;AUXILIAR!$G$50,"",$C$19*C120/$D$22+$D$19*H120/$I$22+$E$19*D120/$E$22+$F$19*G120/$H$22+$G$19*K120/$L$22+$H$19*E120/$F$22+$I$19*F120/$G$22+$J$19*J120/$K$22+$K$19*I120/$J$22+$L$19),0)</f>
        <v>0</v>
      </c>
      <c r="M120" s="221">
        <f>INDEX(AUXILIAR!I42:I250,GAR2!$B$27)</f>
        <v>36281</v>
      </c>
      <c r="N120" s="75"/>
      <c r="O120" s="75"/>
      <c r="P120" s="1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s="4" customFormat="1" ht="12.75">
      <c r="A121" s="218">
        <f t="shared" si="6"/>
        <v>42</v>
      </c>
      <c r="B121" s="218">
        <f t="shared" si="7"/>
        <v>42</v>
      </c>
      <c r="C121" s="219">
        <f>IF($B68&gt;AUXILIAR!$G$50,0,INDEX(INDICES!$C$11:$K$178,GAR2!$B68,1))</f>
        <v>0</v>
      </c>
      <c r="D121" s="219">
        <f>IF($B68&gt;AUXILIAR!$G$50,0,INDEX(INDICES!$C$11:$K$178,GAR2!$B68,2))</f>
        <v>0</v>
      </c>
      <c r="E121" s="219">
        <f>IF($B68&gt;AUXILIAR!$G$50,0,INDEX(INDICES!$C$11:$K$178,GAR2!$B68,3))</f>
        <v>0</v>
      </c>
      <c r="F121" s="219">
        <f>IF($B68&gt;AUXILIAR!$G$50,0,INDEX(INDICES!$C$11:$K$178,GAR2!$B68,4))</f>
        <v>0</v>
      </c>
      <c r="G121" s="219">
        <f>IF($B68&gt;AUXILIAR!$G$50,0,INDEX(INDICES!$C$11:$K$178,GAR2!$B68,5))</f>
        <v>0</v>
      </c>
      <c r="H121" s="219">
        <f>IF($B68&gt;AUXILIAR!$G$50,0,INDEX(INDICES!$C$11:$K$178,GAR2!$B68,6))</f>
        <v>0</v>
      </c>
      <c r="I121" s="219">
        <f>IF($B68&gt;AUXILIAR!$G$50,0,INDEX(INDICES!$C$11:$K$178,GAR2!$B68,7))</f>
        <v>0</v>
      </c>
      <c r="J121" s="219">
        <f>IF($B68&gt;AUXILIAR!$G$50,0,INDEX(INDICES!$C$11:$K$178,GAR2!$B68,8))</f>
        <v>0</v>
      </c>
      <c r="K121" s="219">
        <f>IF($B68&gt;AUXILIAR!$G$50,0,INDEX(INDICES!$C$11:$K$178,GAR2!$B68,9))</f>
        <v>0</v>
      </c>
      <c r="L121" s="220">
        <f>IF(AUXILIAR!$D$11=2,IF($B121&gt;AUXILIAR!$G$50,"",$C$19*C121/$D$22+$D$19*H121/$I$22+$E$19*D121/$E$22+$F$19*G121/$H$22+$G$19*K121/$L$22+$H$19*E121/$F$22+$I$19*F121/$G$22+$J$19*J121/$K$22+$K$19*I121/$J$22+$L$19),0)</f>
        <v>0</v>
      </c>
      <c r="M121" s="221">
        <f>INDEX(AUXILIAR!I43:I251,GAR2!$B$27)</f>
        <v>36312</v>
      </c>
      <c r="N121" s="75"/>
      <c r="O121" s="75"/>
      <c r="P121" s="1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s="4" customFormat="1" ht="12.75">
      <c r="A122" s="218">
        <f t="shared" si="6"/>
        <v>43</v>
      </c>
      <c r="B122" s="218">
        <f t="shared" si="7"/>
        <v>43</v>
      </c>
      <c r="C122" s="219">
        <f>IF($B69&gt;AUXILIAR!$G$50,0,INDEX(INDICES!$C$11:$K$178,GAR2!$B69,1))</f>
        <v>0</v>
      </c>
      <c r="D122" s="219">
        <f>IF($B69&gt;AUXILIAR!$G$50,0,INDEX(INDICES!$C$11:$K$178,GAR2!$B69,2))</f>
        <v>0</v>
      </c>
      <c r="E122" s="219">
        <f>IF($B69&gt;AUXILIAR!$G$50,0,INDEX(INDICES!$C$11:$K$178,GAR2!$B69,3))</f>
        <v>0</v>
      </c>
      <c r="F122" s="219">
        <f>IF($B69&gt;AUXILIAR!$G$50,0,INDEX(INDICES!$C$11:$K$178,GAR2!$B69,4))</f>
        <v>0</v>
      </c>
      <c r="G122" s="219">
        <f>IF($B69&gt;AUXILIAR!$G$50,0,INDEX(INDICES!$C$11:$K$178,GAR2!$B69,5))</f>
        <v>0</v>
      </c>
      <c r="H122" s="219">
        <f>IF($B69&gt;AUXILIAR!$G$50,0,INDEX(INDICES!$C$11:$K$178,GAR2!$B69,6))</f>
        <v>0</v>
      </c>
      <c r="I122" s="219">
        <f>IF($B69&gt;AUXILIAR!$G$50,0,INDEX(INDICES!$C$11:$K$178,GAR2!$B69,7))</f>
        <v>0</v>
      </c>
      <c r="J122" s="219">
        <f>IF($B69&gt;AUXILIAR!$G$50,0,INDEX(INDICES!$C$11:$K$178,GAR2!$B69,8))</f>
        <v>0</v>
      </c>
      <c r="K122" s="219">
        <f>IF($B69&gt;AUXILIAR!$G$50,0,INDEX(INDICES!$C$11:$K$178,GAR2!$B69,9))</f>
        <v>0</v>
      </c>
      <c r="L122" s="220">
        <f>IF(AUXILIAR!$D$11=2,IF($B122&gt;AUXILIAR!$G$50,"",$C$19*C122/$D$22+$D$19*H122/$I$22+$E$19*D122/$E$22+$F$19*G122/$H$22+$G$19*K122/$L$22+$H$19*E122/$F$22+$I$19*F122/$G$22+$J$19*J122/$K$22+$K$19*I122/$J$22+$L$19),0)</f>
        <v>0</v>
      </c>
      <c r="M122" s="221">
        <f>INDEX(AUXILIAR!I44:I252,GAR2!$B$27)</f>
        <v>36342</v>
      </c>
      <c r="N122" s="75"/>
      <c r="O122" s="75"/>
      <c r="P122" s="1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s="4" customFormat="1" ht="12.75">
      <c r="A123" s="218">
        <f t="shared" si="6"/>
        <v>44</v>
      </c>
      <c r="B123" s="218">
        <f t="shared" si="7"/>
        <v>44</v>
      </c>
      <c r="C123" s="219">
        <f>IF($B70&gt;AUXILIAR!$G$50,0,INDEX(INDICES!$C$11:$K$178,GAR2!$B70,1))</f>
        <v>0</v>
      </c>
      <c r="D123" s="219">
        <f>IF($B70&gt;AUXILIAR!$G$50,0,INDEX(INDICES!$C$11:$K$178,GAR2!$B70,2))</f>
        <v>0</v>
      </c>
      <c r="E123" s="219">
        <f>IF($B70&gt;AUXILIAR!$G$50,0,INDEX(INDICES!$C$11:$K$178,GAR2!$B70,3))</f>
        <v>0</v>
      </c>
      <c r="F123" s="219">
        <f>IF($B70&gt;AUXILIAR!$G$50,0,INDEX(INDICES!$C$11:$K$178,GAR2!$B70,4))</f>
        <v>0</v>
      </c>
      <c r="G123" s="219">
        <f>IF($B70&gt;AUXILIAR!$G$50,0,INDEX(INDICES!$C$11:$K$178,GAR2!$B70,5))</f>
        <v>0</v>
      </c>
      <c r="H123" s="219">
        <f>IF($B70&gt;AUXILIAR!$G$50,0,INDEX(INDICES!$C$11:$K$178,GAR2!$B70,6))</f>
        <v>0</v>
      </c>
      <c r="I123" s="219">
        <f>IF($B70&gt;AUXILIAR!$G$50,0,INDEX(INDICES!$C$11:$K$178,GAR2!$B70,7))</f>
        <v>0</v>
      </c>
      <c r="J123" s="219">
        <f>IF($B70&gt;AUXILIAR!$G$50,0,INDEX(INDICES!$C$11:$K$178,GAR2!$B70,8))</f>
        <v>0</v>
      </c>
      <c r="K123" s="219">
        <f>IF($B70&gt;AUXILIAR!$G$50,0,INDEX(INDICES!$C$11:$K$178,GAR2!$B70,9))</f>
        <v>0</v>
      </c>
      <c r="L123" s="220">
        <f>IF(AUXILIAR!$D$11=2,IF($B123&gt;AUXILIAR!$G$50,"",$C$19*C123/$D$22+$D$19*H123/$I$22+$E$19*D123/$E$22+$F$19*G123/$H$22+$G$19*K123/$L$22+$H$19*E123/$F$22+$I$19*F123/$G$22+$J$19*J123/$K$22+$K$19*I123/$J$22+$L$19),0)</f>
        <v>0</v>
      </c>
      <c r="M123" s="221">
        <f>INDEX(AUXILIAR!I45:I253,GAR2!$B$27)</f>
        <v>36373</v>
      </c>
      <c r="N123" s="75"/>
      <c r="O123" s="75"/>
      <c r="P123" s="1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s="4" customFormat="1" ht="12.75">
      <c r="A124" s="218">
        <f t="shared" si="6"/>
        <v>45</v>
      </c>
      <c r="B124" s="218">
        <f t="shared" si="7"/>
        <v>45</v>
      </c>
      <c r="C124" s="219">
        <f>IF($B71&gt;AUXILIAR!$G$50,0,INDEX(INDICES!$C$11:$K$178,GAR2!$B71,1))</f>
        <v>0</v>
      </c>
      <c r="D124" s="219">
        <f>IF($B71&gt;AUXILIAR!$G$50,0,INDEX(INDICES!$C$11:$K$178,GAR2!$B71,2))</f>
        <v>0</v>
      </c>
      <c r="E124" s="219">
        <f>IF($B71&gt;AUXILIAR!$G$50,0,INDEX(INDICES!$C$11:$K$178,GAR2!$B71,3))</f>
        <v>0</v>
      </c>
      <c r="F124" s="219">
        <f>IF($B71&gt;AUXILIAR!$G$50,0,INDEX(INDICES!$C$11:$K$178,GAR2!$B71,4))</f>
        <v>0</v>
      </c>
      <c r="G124" s="219">
        <f>IF($B71&gt;AUXILIAR!$G$50,0,INDEX(INDICES!$C$11:$K$178,GAR2!$B71,5))</f>
        <v>0</v>
      </c>
      <c r="H124" s="219">
        <f>IF($B71&gt;AUXILIAR!$G$50,0,INDEX(INDICES!$C$11:$K$178,GAR2!$B71,6))</f>
        <v>0</v>
      </c>
      <c r="I124" s="219">
        <f>IF($B71&gt;AUXILIAR!$G$50,0,INDEX(INDICES!$C$11:$K$178,GAR2!$B71,7))</f>
        <v>0</v>
      </c>
      <c r="J124" s="219">
        <f>IF($B71&gt;AUXILIAR!$G$50,0,INDEX(INDICES!$C$11:$K$178,GAR2!$B71,8))</f>
        <v>0</v>
      </c>
      <c r="K124" s="219">
        <f>IF($B71&gt;AUXILIAR!$G$50,0,INDEX(INDICES!$C$11:$K$178,GAR2!$B71,9))</f>
        <v>0</v>
      </c>
      <c r="L124" s="220">
        <f>IF(AUXILIAR!$D$11=2,IF($B124&gt;AUXILIAR!$G$50,"",$C$19*C124/$D$22+$D$19*H124/$I$22+$E$19*D124/$E$22+$F$19*G124/$H$22+$G$19*K124/$L$22+$H$19*E124/$F$22+$I$19*F124/$G$22+$J$19*J124/$K$22+$K$19*I124/$J$22+$L$19),0)</f>
        <v>0</v>
      </c>
      <c r="M124" s="221">
        <f>INDEX(AUXILIAR!I46:I254,GAR2!$B$27)</f>
        <v>36404</v>
      </c>
      <c r="N124" s="75"/>
      <c r="O124" s="75"/>
      <c r="P124" s="1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s="4" customFormat="1" ht="12.75">
      <c r="A125" s="218">
        <f t="shared" si="6"/>
        <v>46</v>
      </c>
      <c r="B125" s="218">
        <f t="shared" si="7"/>
        <v>46</v>
      </c>
      <c r="C125" s="219">
        <f>IF($B72&gt;AUXILIAR!$G$50,0,INDEX(INDICES!$C$11:$K$178,GAR2!$B72,1))</f>
        <v>0</v>
      </c>
      <c r="D125" s="219">
        <f>IF($B72&gt;AUXILIAR!$G$50,0,INDEX(INDICES!$C$11:$K$178,GAR2!$B72,2))</f>
        <v>0</v>
      </c>
      <c r="E125" s="219">
        <f>IF($B72&gt;AUXILIAR!$G$50,0,INDEX(INDICES!$C$11:$K$178,GAR2!$B72,3))</f>
        <v>0</v>
      </c>
      <c r="F125" s="219">
        <f>IF($B72&gt;AUXILIAR!$G$50,0,INDEX(INDICES!$C$11:$K$178,GAR2!$B72,4))</f>
        <v>0</v>
      </c>
      <c r="G125" s="219">
        <f>IF($B72&gt;AUXILIAR!$G$50,0,INDEX(INDICES!$C$11:$K$178,GAR2!$B72,5))</f>
        <v>0</v>
      </c>
      <c r="H125" s="219">
        <f>IF($B72&gt;AUXILIAR!$G$50,0,INDEX(INDICES!$C$11:$K$178,GAR2!$B72,6))</f>
        <v>0</v>
      </c>
      <c r="I125" s="219">
        <f>IF($B72&gt;AUXILIAR!$G$50,0,INDEX(INDICES!$C$11:$K$178,GAR2!$B72,7))</f>
        <v>0</v>
      </c>
      <c r="J125" s="219">
        <f>IF($B72&gt;AUXILIAR!$G$50,0,INDEX(INDICES!$C$11:$K$178,GAR2!$B72,8))</f>
        <v>0</v>
      </c>
      <c r="K125" s="219">
        <f>IF($B72&gt;AUXILIAR!$G$50,0,INDEX(INDICES!$C$11:$K$178,GAR2!$B72,9))</f>
        <v>0</v>
      </c>
      <c r="L125" s="220">
        <f>IF(AUXILIAR!$D$11=2,IF($B125&gt;AUXILIAR!$G$50,"",$C$19*C125/$D$22+$D$19*H125/$I$22+$E$19*D125/$E$22+$F$19*G125/$H$22+$G$19*K125/$L$22+$H$19*E125/$F$22+$I$19*F125/$G$22+$J$19*J125/$K$22+$K$19*I125/$J$22+$L$19),0)</f>
        <v>0</v>
      </c>
      <c r="M125" s="221">
        <f>INDEX(AUXILIAR!I47:I255,GAR2!$B$27)</f>
        <v>36434</v>
      </c>
      <c r="N125" s="75"/>
      <c r="O125" s="75"/>
      <c r="P125" s="1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s="4" customFormat="1" ht="12.75">
      <c r="A126" s="218">
        <f t="shared" si="6"/>
        <v>47</v>
      </c>
      <c r="B126" s="218">
        <f t="shared" si="7"/>
        <v>47</v>
      </c>
      <c r="C126" s="219">
        <f>IF($B73&gt;AUXILIAR!$G$50,0,INDEX(INDICES!$C$11:$K$178,GAR2!$B73,1))</f>
        <v>0</v>
      </c>
      <c r="D126" s="219">
        <f>IF($B73&gt;AUXILIAR!$G$50,0,INDEX(INDICES!$C$11:$K$178,GAR2!$B73,2))</f>
        <v>0</v>
      </c>
      <c r="E126" s="219">
        <f>IF($B73&gt;AUXILIAR!$G$50,0,INDEX(INDICES!$C$11:$K$178,GAR2!$B73,3))</f>
        <v>0</v>
      </c>
      <c r="F126" s="219">
        <f>IF($B73&gt;AUXILIAR!$G$50,0,INDEX(INDICES!$C$11:$K$178,GAR2!$B73,4))</f>
        <v>0</v>
      </c>
      <c r="G126" s="219">
        <f>IF($B73&gt;AUXILIAR!$G$50,0,INDEX(INDICES!$C$11:$K$178,GAR2!$B73,5))</f>
        <v>0</v>
      </c>
      <c r="H126" s="219">
        <f>IF($B73&gt;AUXILIAR!$G$50,0,INDEX(INDICES!$C$11:$K$178,GAR2!$B73,6))</f>
        <v>0</v>
      </c>
      <c r="I126" s="219">
        <f>IF($B73&gt;AUXILIAR!$G$50,0,INDEX(INDICES!$C$11:$K$178,GAR2!$B73,7))</f>
        <v>0</v>
      </c>
      <c r="J126" s="219">
        <f>IF($B73&gt;AUXILIAR!$G$50,0,INDEX(INDICES!$C$11:$K$178,GAR2!$B73,8))</f>
        <v>0</v>
      </c>
      <c r="K126" s="219">
        <f>IF($B73&gt;AUXILIAR!$G$50,0,INDEX(INDICES!$C$11:$K$178,GAR2!$B73,9))</f>
        <v>0</v>
      </c>
      <c r="L126" s="220">
        <f>IF(AUXILIAR!$D$11=2,IF($B126&gt;AUXILIAR!$G$50,"",$C$19*C126/$D$22+$D$19*H126/$I$22+$E$19*D126/$E$22+$F$19*G126/$H$22+$G$19*K126/$L$22+$H$19*E126/$F$22+$I$19*F126/$G$22+$J$19*J126/$K$22+$K$19*I126/$J$22+$L$19),0)</f>
        <v>0</v>
      </c>
      <c r="M126" s="221">
        <f>INDEX(AUXILIAR!I48:I256,GAR2!$B$27)</f>
        <v>36465</v>
      </c>
      <c r="N126" s="75"/>
      <c r="O126" s="75"/>
      <c r="P126" s="1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s="4" customFormat="1" ht="12.75">
      <c r="A127" s="218">
        <f t="shared" si="6"/>
        <v>48</v>
      </c>
      <c r="B127" s="218">
        <f t="shared" si="7"/>
        <v>48</v>
      </c>
      <c r="C127" s="219">
        <f>IF($B74&gt;AUXILIAR!$G$50,0,INDEX(INDICES!$C$11:$K$178,GAR2!$B74,1))</f>
        <v>0</v>
      </c>
      <c r="D127" s="219">
        <f>IF($B74&gt;AUXILIAR!$G$50,0,INDEX(INDICES!$C$11:$K$178,GAR2!$B74,2))</f>
        <v>0</v>
      </c>
      <c r="E127" s="219">
        <f>IF($B74&gt;AUXILIAR!$G$50,0,INDEX(INDICES!$C$11:$K$178,GAR2!$B74,3))</f>
        <v>0</v>
      </c>
      <c r="F127" s="219">
        <f>IF($B74&gt;AUXILIAR!$G$50,0,INDEX(INDICES!$C$11:$K$178,GAR2!$B74,4))</f>
        <v>0</v>
      </c>
      <c r="G127" s="219">
        <f>IF($B74&gt;AUXILIAR!$G$50,0,INDEX(INDICES!$C$11:$K$178,GAR2!$B74,5))</f>
        <v>0</v>
      </c>
      <c r="H127" s="219">
        <f>IF($B74&gt;AUXILIAR!$G$50,0,INDEX(INDICES!$C$11:$K$178,GAR2!$B74,6))</f>
        <v>0</v>
      </c>
      <c r="I127" s="219">
        <f>IF($B74&gt;AUXILIAR!$G$50,0,INDEX(INDICES!$C$11:$K$178,GAR2!$B74,7))</f>
        <v>0</v>
      </c>
      <c r="J127" s="219">
        <f>IF($B74&gt;AUXILIAR!$G$50,0,INDEX(INDICES!$C$11:$K$178,GAR2!$B74,8))</f>
        <v>0</v>
      </c>
      <c r="K127" s="219">
        <f>IF($B74&gt;AUXILIAR!$G$50,0,INDEX(INDICES!$C$11:$K$178,GAR2!$B74,9))</f>
        <v>0</v>
      </c>
      <c r="L127" s="220">
        <f>IF(AUXILIAR!$D$11=2,IF($B127&gt;AUXILIAR!$G$50,"",$C$19*C127/$D$22+$D$19*H127/$I$22+$E$19*D127/$E$22+$F$19*G127/$H$22+$G$19*K127/$L$22+$H$19*E127/$F$22+$I$19*F127/$G$22+$J$19*J127/$K$22+$K$19*I127/$J$22+$L$19),0)</f>
        <v>0</v>
      </c>
      <c r="M127" s="221">
        <f>INDEX(AUXILIAR!I49:I257,GAR2!$B$27)</f>
        <v>36495</v>
      </c>
      <c r="N127" s="75"/>
      <c r="O127" s="75"/>
      <c r="P127" s="1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s="4" customFormat="1" ht="12.75">
      <c r="A128" s="218">
        <f t="shared" si="6"/>
        <v>49</v>
      </c>
      <c r="B128" s="218">
        <f t="shared" si="7"/>
        <v>49</v>
      </c>
      <c r="C128" s="219">
        <f>IF($B75&gt;AUXILIAR!$G$50,0,INDEX(INDICES!$C$11:$K$178,GAR2!$B75,1))</f>
        <v>0</v>
      </c>
      <c r="D128" s="219">
        <f>IF($B75&gt;AUXILIAR!$G$50,0,INDEX(INDICES!$C$11:$K$178,GAR2!$B75,2))</f>
        <v>0</v>
      </c>
      <c r="E128" s="219">
        <f>IF($B75&gt;AUXILIAR!$G$50,0,INDEX(INDICES!$C$11:$K$178,GAR2!$B75,3))</f>
        <v>0</v>
      </c>
      <c r="F128" s="219">
        <f>IF($B75&gt;AUXILIAR!$G$50,0,INDEX(INDICES!$C$11:$K$178,GAR2!$B75,4))</f>
        <v>0</v>
      </c>
      <c r="G128" s="219">
        <f>IF($B75&gt;AUXILIAR!$G$50,0,INDEX(INDICES!$C$11:$K$178,GAR2!$B75,5))</f>
        <v>0</v>
      </c>
      <c r="H128" s="219">
        <f>IF($B75&gt;AUXILIAR!$G$50,0,INDEX(INDICES!$C$11:$K$178,GAR2!$B75,6))</f>
        <v>0</v>
      </c>
      <c r="I128" s="219">
        <f>IF($B75&gt;AUXILIAR!$G$50,0,INDEX(INDICES!$C$11:$K$178,GAR2!$B75,7))</f>
        <v>0</v>
      </c>
      <c r="J128" s="219">
        <f>IF($B75&gt;AUXILIAR!$G$50,0,INDEX(INDICES!$C$11:$K$178,GAR2!$B75,8))</f>
        <v>0</v>
      </c>
      <c r="K128" s="219">
        <f>IF($B75&gt;AUXILIAR!$G$50,0,INDEX(INDICES!$C$11:$K$178,GAR2!$B75,9))</f>
        <v>0</v>
      </c>
      <c r="L128" s="220">
        <f>IF(AUXILIAR!$D$11=2,IF($B128&gt;AUXILIAR!$G$50,"",$C$19*C128/$D$22+$D$19*H128/$I$22+$E$19*D128/$E$22+$F$19*G128/$H$22+$G$19*K128/$L$22+$H$19*E128/$F$22+$I$19*F128/$G$22+$J$19*J128/$K$22+$K$19*I128/$J$22+$L$19),0)</f>
        <v>0</v>
      </c>
      <c r="M128" s="221">
        <f>INDEX(AUXILIAR!I50:I258,GAR2!$B$27)</f>
        <v>36526</v>
      </c>
      <c r="N128" s="75"/>
      <c r="O128" s="75"/>
      <c r="P128" s="1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s="4" customFormat="1" ht="12.75">
      <c r="A129" s="218">
        <f t="shared" si="6"/>
        <v>50</v>
      </c>
      <c r="B129" s="218">
        <f t="shared" si="7"/>
        <v>50</v>
      </c>
      <c r="C129" s="219">
        <f>IF($B76&gt;AUXILIAR!$G$50,0,INDEX(INDICES!$C$11:$K$178,GAR2!$B76,1))</f>
        <v>0</v>
      </c>
      <c r="D129" s="219">
        <f>IF($B76&gt;AUXILIAR!$G$50,0,INDEX(INDICES!$C$11:$K$178,GAR2!$B76,2))</f>
        <v>0</v>
      </c>
      <c r="E129" s="219">
        <f>IF($B76&gt;AUXILIAR!$G$50,0,INDEX(INDICES!$C$11:$K$178,GAR2!$B76,3))</f>
        <v>0</v>
      </c>
      <c r="F129" s="219">
        <f>IF($B76&gt;AUXILIAR!$G$50,0,INDEX(INDICES!$C$11:$K$178,GAR2!$B76,4))</f>
        <v>0</v>
      </c>
      <c r="G129" s="219">
        <f>IF($B76&gt;AUXILIAR!$G$50,0,INDEX(INDICES!$C$11:$K$178,GAR2!$B76,5))</f>
        <v>0</v>
      </c>
      <c r="H129" s="219">
        <f>IF($B76&gt;AUXILIAR!$G$50,0,INDEX(INDICES!$C$11:$K$178,GAR2!$B76,6))</f>
        <v>0</v>
      </c>
      <c r="I129" s="219">
        <f>IF($B76&gt;AUXILIAR!$G$50,0,INDEX(INDICES!$C$11:$K$178,GAR2!$B76,7))</f>
        <v>0</v>
      </c>
      <c r="J129" s="219">
        <f>IF($B76&gt;AUXILIAR!$G$50,0,INDEX(INDICES!$C$11:$K$178,GAR2!$B76,8))</f>
        <v>0</v>
      </c>
      <c r="K129" s="219">
        <f>IF($B76&gt;AUXILIAR!$G$50,0,INDEX(INDICES!$C$11:$K$178,GAR2!$B76,9))</f>
        <v>0</v>
      </c>
      <c r="L129" s="220">
        <f>IF(AUXILIAR!$D$11=2,IF($B129&gt;AUXILIAR!$G$50,"",$C$19*C129/$D$22+$D$19*H129/$I$22+$E$19*D129/$E$22+$F$19*G129/$H$22+$G$19*K129/$L$22+$H$19*E129/$F$22+$I$19*F129/$G$22+$J$19*J129/$K$22+$K$19*I129/$J$22+$L$19),0)</f>
        <v>0</v>
      </c>
      <c r="M129" s="221">
        <f>INDEX(AUXILIAR!I51:I259,GAR2!$B$27)</f>
        <v>36557</v>
      </c>
      <c r="N129" s="75"/>
      <c r="O129" s="75"/>
      <c r="P129" s="1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s="4" customFormat="1" ht="12.75">
      <c r="A130" s="73"/>
      <c r="B130" s="72"/>
      <c r="C130" s="79"/>
      <c r="D130" s="79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1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s="4" customFormat="1" ht="12.75">
      <c r="A131" s="73"/>
      <c r="B131" s="72"/>
      <c r="C131" s="79"/>
      <c r="D131" s="79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17"/>
      <c r="Q131" s="47"/>
      <c r="R131" s="47"/>
      <c r="S131" s="47"/>
      <c r="T131" s="47"/>
      <c r="U131" s="47"/>
      <c r="V131" s="47"/>
      <c r="W131" s="47"/>
      <c r="X131" s="47"/>
      <c r="Y131" s="47"/>
      <c r="Z131" s="48"/>
    </row>
    <row r="132" spans="1:16" ht="13.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3"/>
      <c r="M132" s="73"/>
      <c r="N132" s="75"/>
      <c r="O132" s="75"/>
      <c r="P132" s="17"/>
    </row>
    <row r="133" spans="1:16" ht="12.75">
      <c r="A133" s="75"/>
      <c r="B133" s="75"/>
      <c r="C133" s="75"/>
      <c r="D133" s="78"/>
      <c r="E133" s="73"/>
      <c r="F133" s="73"/>
      <c r="G133" s="73"/>
      <c r="H133" s="73"/>
      <c r="I133" s="73"/>
      <c r="J133" s="73"/>
      <c r="K133" s="73"/>
      <c r="L133" s="73"/>
      <c r="M133" s="73"/>
      <c r="N133" s="75"/>
      <c r="O133" s="75"/>
      <c r="P133" s="17"/>
    </row>
    <row r="134" spans="1:16" ht="12.75">
      <c r="A134" s="75"/>
      <c r="B134" s="75"/>
      <c r="C134" s="75"/>
      <c r="D134" s="78"/>
      <c r="E134" s="73"/>
      <c r="F134" s="73"/>
      <c r="G134" s="73"/>
      <c r="H134" s="73"/>
      <c r="I134" s="73"/>
      <c r="J134" s="73"/>
      <c r="K134" s="73"/>
      <c r="L134" s="73"/>
      <c r="M134" s="73"/>
      <c r="N134" s="75"/>
      <c r="O134" s="75"/>
      <c r="P134" s="17"/>
    </row>
    <row r="135" spans="1:16" ht="12.75">
      <c r="A135" s="75"/>
      <c r="B135" s="75"/>
      <c r="C135" s="75"/>
      <c r="D135" s="78"/>
      <c r="E135" s="73"/>
      <c r="F135" s="73"/>
      <c r="G135" s="73"/>
      <c r="H135" s="73"/>
      <c r="I135" s="73"/>
      <c r="J135" s="73"/>
      <c r="K135" s="73"/>
      <c r="L135" s="73"/>
      <c r="M135" s="73"/>
      <c r="N135" s="75"/>
      <c r="O135" s="75"/>
      <c r="P135" s="17"/>
    </row>
    <row r="136" spans="1:25" ht="12.75" customHeight="1">
      <c r="A136" s="75"/>
      <c r="B136" s="75"/>
      <c r="C136" s="75"/>
      <c r="D136" s="78"/>
      <c r="E136" s="73"/>
      <c r="F136" s="73"/>
      <c r="G136" s="73"/>
      <c r="H136" s="73"/>
      <c r="I136" s="73"/>
      <c r="J136" s="73"/>
      <c r="K136" s="73"/>
      <c r="L136" s="73"/>
      <c r="M136" s="73"/>
      <c r="N136" s="75"/>
      <c r="O136" s="75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3.5" customHeight="1">
      <c r="A137" s="75"/>
      <c r="B137" s="75"/>
      <c r="C137" s="75"/>
      <c r="D137" s="78"/>
      <c r="E137" s="73"/>
      <c r="F137" s="16"/>
      <c r="G137" s="16"/>
      <c r="H137" s="16"/>
      <c r="I137" s="16"/>
      <c r="J137" s="16"/>
      <c r="K137" s="16"/>
      <c r="L137" s="73"/>
      <c r="M137" s="73"/>
      <c r="N137" s="75"/>
      <c r="O137" s="75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2.75">
      <c r="A138" s="75"/>
      <c r="B138" s="75"/>
      <c r="C138" s="75"/>
      <c r="D138" s="78"/>
      <c r="E138" s="73"/>
      <c r="F138" s="16"/>
      <c r="G138" s="16"/>
      <c r="H138" s="16"/>
      <c r="I138" s="16"/>
      <c r="J138" s="16"/>
      <c r="K138" s="16"/>
      <c r="L138" s="73"/>
      <c r="M138" s="73"/>
      <c r="N138" s="75"/>
      <c r="O138" s="75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16" ht="12.75">
      <c r="A139" s="17"/>
      <c r="B139" s="17"/>
      <c r="C139" s="17"/>
      <c r="D139" s="18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7"/>
      <c r="P139" s="17"/>
    </row>
    <row r="140" spans="1:16" ht="12.75">
      <c r="A140" s="17"/>
      <c r="B140" s="17"/>
      <c r="C140" s="17"/>
      <c r="D140" s="18"/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17"/>
      <c r="P140" s="17"/>
    </row>
    <row r="141" spans="1:16" ht="12.75">
      <c r="A141" s="17"/>
      <c r="B141" s="17"/>
      <c r="C141" s="17"/>
      <c r="D141" s="18"/>
      <c r="E141" s="16"/>
      <c r="F141" s="16"/>
      <c r="G141" s="16"/>
      <c r="H141" s="16"/>
      <c r="I141" s="16"/>
      <c r="J141" s="16"/>
      <c r="K141" s="16"/>
      <c r="L141" s="16"/>
      <c r="M141" s="16"/>
      <c r="N141" s="17"/>
      <c r="O141" s="17"/>
      <c r="P141" s="17"/>
    </row>
    <row r="142" spans="1:16" ht="12.75">
      <c r="A142" s="17"/>
      <c r="B142" s="17"/>
      <c r="C142" s="17"/>
      <c r="D142" s="18"/>
      <c r="E142" s="16"/>
      <c r="F142" s="16"/>
      <c r="G142" s="16"/>
      <c r="H142" s="16"/>
      <c r="I142" s="16"/>
      <c r="J142" s="16"/>
      <c r="K142" s="16"/>
      <c r="L142" s="16"/>
      <c r="M142" s="16"/>
      <c r="N142" s="17"/>
      <c r="O142" s="17"/>
      <c r="P142" s="17"/>
    </row>
    <row r="143" spans="1:16" ht="12.75">
      <c r="A143" s="17"/>
      <c r="B143" s="17"/>
      <c r="C143" s="17"/>
      <c r="D143" s="18"/>
      <c r="E143" s="16"/>
      <c r="L143" s="16"/>
      <c r="M143" s="16"/>
      <c r="N143" s="17"/>
      <c r="O143" s="17"/>
      <c r="P143" s="17"/>
    </row>
    <row r="144" spans="1:16" ht="12.75">
      <c r="A144" s="17"/>
      <c r="B144" s="17"/>
      <c r="C144" s="17"/>
      <c r="D144" s="18"/>
      <c r="E144" s="16"/>
      <c r="L144" s="16"/>
      <c r="M144" s="16"/>
      <c r="N144" s="17"/>
      <c r="O144" s="17"/>
      <c r="P144" s="17"/>
    </row>
  </sheetData>
  <sheetProtection password="F956" sheet="1"/>
  <mergeCells count="9">
    <mergeCell ref="B17:L17"/>
    <mergeCell ref="B20:L20"/>
    <mergeCell ref="B14:L14"/>
    <mergeCell ref="E1:I1"/>
    <mergeCell ref="E2:I2"/>
    <mergeCell ref="D7:J10"/>
    <mergeCell ref="E3:I3"/>
    <mergeCell ref="E4:I5"/>
    <mergeCell ref="B13:L13"/>
  </mergeCells>
  <printOptions horizontalCentered="1" verticalCentered="1"/>
  <pageMargins left="0.7874015748031497" right="0.1968503937007874" top="0.3937007874015748" bottom="0.3937007874015748" header="0.5118110236220472" footer="0.5118110236220472"/>
  <pageSetup fitToHeight="0" horizontalDpi="600" verticalDpi="600" orientation="landscape" paperSize="9" scale="70" r:id="rId2"/>
  <rowBreaks count="3" manualBreakCount="3">
    <brk id="24" max="255" man="1"/>
    <brk id="77" min="1" max="12" man="1"/>
    <brk id="130" min="1" max="12" man="1"/>
  </rowBreaks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Y313"/>
  <sheetViews>
    <sheetView zoomScale="85" zoomScaleNormal="85" zoomScalePageLayoutView="0" workbookViewId="0" topLeftCell="A286">
      <selection activeCell="I302" sqref="I302:M313"/>
    </sheetView>
  </sheetViews>
  <sheetFormatPr defaultColWidth="11.421875" defaultRowHeight="12.75"/>
  <cols>
    <col min="1" max="1" width="26.7109375" style="0" customWidth="1"/>
    <col min="2" max="3" width="11.7109375" style="0" bestFit="1" customWidth="1"/>
    <col min="5" max="5" width="8.28125" style="0" customWidth="1"/>
    <col min="7" max="7" width="12.7109375" style="0" bestFit="1" customWidth="1"/>
    <col min="9" max="9" width="11.421875" style="9" customWidth="1"/>
    <col min="12" max="12" width="11.421875" style="5" customWidth="1"/>
  </cols>
  <sheetData>
    <row r="1" spans="1:15" ht="22.5" customHeight="1" thickBot="1">
      <c r="A1" s="706" t="s">
        <v>75</v>
      </c>
      <c r="B1" s="707"/>
      <c r="C1" s="707"/>
      <c r="D1" s="707"/>
      <c r="E1" s="87"/>
      <c r="F1" s="88" t="s">
        <v>70</v>
      </c>
      <c r="G1" s="89" t="s">
        <v>71</v>
      </c>
      <c r="H1" s="36" t="s">
        <v>72</v>
      </c>
      <c r="I1" s="36" t="s">
        <v>128</v>
      </c>
      <c r="J1" s="691" t="s">
        <v>161</v>
      </c>
      <c r="K1" s="692"/>
      <c r="L1" s="692"/>
      <c r="M1" s="693"/>
      <c r="O1" s="89" t="s">
        <v>71</v>
      </c>
    </row>
    <row r="2" spans="1:16" ht="12.75">
      <c r="A2" s="107" t="s">
        <v>72</v>
      </c>
      <c r="B2" s="108" t="s">
        <v>70</v>
      </c>
      <c r="C2" s="108" t="s">
        <v>71</v>
      </c>
      <c r="D2" s="109" t="s">
        <v>129</v>
      </c>
      <c r="E2" s="90" t="s">
        <v>222</v>
      </c>
      <c r="F2" s="89" t="s">
        <v>58</v>
      </c>
      <c r="G2" s="91">
        <v>1996</v>
      </c>
      <c r="H2" s="40">
        <v>1</v>
      </c>
      <c r="I2" s="26">
        <v>35065</v>
      </c>
      <c r="J2" s="27">
        <v>31</v>
      </c>
      <c r="K2" s="25" t="s">
        <v>137</v>
      </c>
      <c r="L2" s="25">
        <v>1996</v>
      </c>
      <c r="M2" s="28">
        <v>1</v>
      </c>
      <c r="N2" s="10"/>
      <c r="O2" s="91">
        <v>1996</v>
      </c>
      <c r="P2" s="10"/>
    </row>
    <row r="3" spans="1:16" ht="13.5" thickBot="1">
      <c r="A3" s="110">
        <v>20</v>
      </c>
      <c r="B3" s="111">
        <v>1</v>
      </c>
      <c r="C3" s="112">
        <f>G18+1995</f>
        <v>2009</v>
      </c>
      <c r="D3" s="112">
        <f>B3+12*(C3-1996)</f>
        <v>157</v>
      </c>
      <c r="E3" s="90" t="s">
        <v>223</v>
      </c>
      <c r="F3" s="92" t="s">
        <v>59</v>
      </c>
      <c r="G3" s="93">
        <v>1997</v>
      </c>
      <c r="H3" s="41">
        <v>2</v>
      </c>
      <c r="I3" s="29">
        <v>35096</v>
      </c>
      <c r="J3" s="30">
        <v>29</v>
      </c>
      <c r="K3" s="22" t="s">
        <v>138</v>
      </c>
      <c r="L3" s="22">
        <v>1996</v>
      </c>
      <c r="M3" s="31">
        <v>2</v>
      </c>
      <c r="N3" s="10"/>
      <c r="O3" s="93">
        <v>1997</v>
      </c>
      <c r="P3" s="10"/>
    </row>
    <row r="4" spans="1:16" ht="13.5" thickBot="1">
      <c r="A4" s="706" t="s">
        <v>76</v>
      </c>
      <c r="B4" s="707"/>
      <c r="C4" s="707"/>
      <c r="D4" s="707"/>
      <c r="E4" s="90">
        <f>IF(D25&gt;D3,1,IF(D25=D3,IF(A25&gt;A3,1,0),0))</f>
        <v>0</v>
      </c>
      <c r="F4" s="92" t="s">
        <v>60</v>
      </c>
      <c r="G4" s="93">
        <v>1998</v>
      </c>
      <c r="H4" s="41">
        <v>3</v>
      </c>
      <c r="I4" s="29">
        <v>35125</v>
      </c>
      <c r="J4" s="32">
        <v>31</v>
      </c>
      <c r="K4" s="22" t="s">
        <v>139</v>
      </c>
      <c r="L4" s="22">
        <v>1996</v>
      </c>
      <c r="M4" s="31">
        <v>3</v>
      </c>
      <c r="N4" s="10"/>
      <c r="O4" s="93">
        <v>1998</v>
      </c>
      <c r="P4" s="10"/>
    </row>
    <row r="5" spans="1:16" ht="12.75">
      <c r="A5" s="107" t="s">
        <v>72</v>
      </c>
      <c r="B5" s="108" t="s">
        <v>70</v>
      </c>
      <c r="C5" s="108" t="s">
        <v>71</v>
      </c>
      <c r="D5" s="109" t="s">
        <v>129</v>
      </c>
      <c r="E5" s="90" t="s">
        <v>224</v>
      </c>
      <c r="F5" s="92" t="s">
        <v>61</v>
      </c>
      <c r="G5" s="93">
        <v>1999</v>
      </c>
      <c r="H5" s="41">
        <v>4</v>
      </c>
      <c r="I5" s="29">
        <v>35156</v>
      </c>
      <c r="J5" s="32">
        <v>30</v>
      </c>
      <c r="K5" s="22" t="s">
        <v>140</v>
      </c>
      <c r="L5" s="22">
        <v>1996</v>
      </c>
      <c r="M5" s="31">
        <v>4</v>
      </c>
      <c r="N5" s="10"/>
      <c r="O5" s="93">
        <v>1999</v>
      </c>
      <c r="P5" s="10"/>
    </row>
    <row r="6" spans="1:16" ht="13.5" thickBot="1">
      <c r="A6" s="110">
        <v>20</v>
      </c>
      <c r="B6" s="111">
        <v>1</v>
      </c>
      <c r="C6" s="112">
        <f>1995+G19</f>
        <v>2009</v>
      </c>
      <c r="D6" s="112">
        <f>B6+12*(C6-1996)</f>
        <v>157</v>
      </c>
      <c r="E6" s="90">
        <f>IF(D3&gt;D6,2,IF(D3=D6,IF(A3&gt;A6,2,0),0))</f>
        <v>0</v>
      </c>
      <c r="F6" s="92" t="s">
        <v>62</v>
      </c>
      <c r="G6" s="93">
        <v>2000</v>
      </c>
      <c r="H6" s="41">
        <v>5</v>
      </c>
      <c r="I6" s="29">
        <v>35186</v>
      </c>
      <c r="J6" s="32">
        <v>31</v>
      </c>
      <c r="K6" s="22" t="s">
        <v>141</v>
      </c>
      <c r="L6" s="22">
        <v>1996</v>
      </c>
      <c r="M6" s="31">
        <v>5</v>
      </c>
      <c r="N6" s="10"/>
      <c r="O6" s="93">
        <v>2000</v>
      </c>
      <c r="P6" s="10"/>
    </row>
    <row r="7" spans="1:16" ht="13.5" thickBot="1">
      <c r="A7" s="709" t="s">
        <v>126</v>
      </c>
      <c r="B7" s="710"/>
      <c r="C7" s="711"/>
      <c r="D7" s="147">
        <f>IF(B13&gt;2,IF(B13&lt;5,IF(D3+3&lt;D6,D3+3,D6),D3),D3)</f>
        <v>157</v>
      </c>
      <c r="E7" s="90" t="s">
        <v>225</v>
      </c>
      <c r="F7" s="92" t="s">
        <v>63</v>
      </c>
      <c r="G7" s="93">
        <v>2001</v>
      </c>
      <c r="H7" s="41">
        <v>6</v>
      </c>
      <c r="I7" s="29">
        <v>35217</v>
      </c>
      <c r="J7" s="32">
        <v>30</v>
      </c>
      <c r="K7" s="22" t="s">
        <v>142</v>
      </c>
      <c r="L7" s="22">
        <v>1996</v>
      </c>
      <c r="M7" s="31">
        <v>6</v>
      </c>
      <c r="N7" s="10"/>
      <c r="O7" s="93">
        <v>2001</v>
      </c>
      <c r="P7" s="10"/>
    </row>
    <row r="8" spans="1:16" ht="12.75">
      <c r="A8" s="114" t="s">
        <v>129</v>
      </c>
      <c r="B8" s="108" t="s">
        <v>70</v>
      </c>
      <c r="C8" s="115" t="s">
        <v>71</v>
      </c>
      <c r="D8" s="113"/>
      <c r="E8" s="90">
        <f>IF(D6&gt;A9,4,0)</f>
        <v>0</v>
      </c>
      <c r="F8" s="92" t="s">
        <v>64</v>
      </c>
      <c r="G8" s="93">
        <v>2002</v>
      </c>
      <c r="H8" s="41">
        <v>7</v>
      </c>
      <c r="I8" s="29">
        <v>35247</v>
      </c>
      <c r="J8" s="32">
        <v>31</v>
      </c>
      <c r="K8" s="22" t="s">
        <v>143</v>
      </c>
      <c r="L8" s="22">
        <v>1996</v>
      </c>
      <c r="M8" s="31">
        <v>7</v>
      </c>
      <c r="N8" s="10"/>
      <c r="O8" s="93">
        <v>2002</v>
      </c>
      <c r="P8" s="10"/>
    </row>
    <row r="9" spans="1:16" ht="13.5" thickBot="1">
      <c r="A9" s="116">
        <f>B9+12*(C9-1996)</f>
        <v>157</v>
      </c>
      <c r="B9" s="111">
        <v>1</v>
      </c>
      <c r="C9" s="117">
        <f>1995+G20</f>
        <v>2009</v>
      </c>
      <c r="D9" s="53">
        <f>INDEX(I2:I289,A9)</f>
        <v>39814</v>
      </c>
      <c r="E9" s="90" t="s">
        <v>226</v>
      </c>
      <c r="F9" s="92" t="s">
        <v>65</v>
      </c>
      <c r="G9" s="93">
        <v>2003</v>
      </c>
      <c r="H9" s="41">
        <v>8</v>
      </c>
      <c r="I9" s="29">
        <v>35278</v>
      </c>
      <c r="J9" s="32">
        <v>31</v>
      </c>
      <c r="K9" s="22" t="s">
        <v>144</v>
      </c>
      <c r="L9" s="22">
        <v>1996</v>
      </c>
      <c r="M9" s="31">
        <v>8</v>
      </c>
      <c r="N9" s="10"/>
      <c r="O9" s="93">
        <v>2003</v>
      </c>
      <c r="P9" s="10"/>
    </row>
    <row r="10" spans="1:16" ht="13.5" thickBot="1">
      <c r="A10" s="113"/>
      <c r="B10" s="113"/>
      <c r="C10" s="113"/>
      <c r="D10" s="113"/>
      <c r="E10" s="90">
        <f>IF(A39&lt;A9,8,0)</f>
        <v>0</v>
      </c>
      <c r="F10" s="92" t="s">
        <v>66</v>
      </c>
      <c r="G10" s="93">
        <v>2004</v>
      </c>
      <c r="H10" s="41">
        <v>9</v>
      </c>
      <c r="I10" s="29">
        <v>35309</v>
      </c>
      <c r="J10" s="32">
        <v>30</v>
      </c>
      <c r="K10" s="22" t="s">
        <v>145</v>
      </c>
      <c r="L10" s="22">
        <v>1996</v>
      </c>
      <c r="M10" s="31">
        <v>9</v>
      </c>
      <c r="N10" s="10"/>
      <c r="O10" s="93">
        <v>2004</v>
      </c>
      <c r="P10" s="10"/>
    </row>
    <row r="11" spans="1:16" ht="16.5" customHeight="1" thickBot="1">
      <c r="A11" s="701" t="s">
        <v>120</v>
      </c>
      <c r="B11" s="702"/>
      <c r="C11" s="703"/>
      <c r="D11" s="118">
        <v>1</v>
      </c>
      <c r="E11" s="94" t="s">
        <v>227</v>
      </c>
      <c r="F11" s="92" t="s">
        <v>67</v>
      </c>
      <c r="G11" s="93">
        <v>2005</v>
      </c>
      <c r="H11" s="41">
        <v>10</v>
      </c>
      <c r="I11" s="29">
        <v>35339</v>
      </c>
      <c r="J11" s="32">
        <v>31</v>
      </c>
      <c r="K11" s="22" t="s">
        <v>146</v>
      </c>
      <c r="L11" s="22">
        <v>1996</v>
      </c>
      <c r="M11" s="31">
        <v>10</v>
      </c>
      <c r="N11" s="10"/>
      <c r="O11" s="93">
        <v>2005</v>
      </c>
      <c r="P11" s="10"/>
    </row>
    <row r="12" spans="1:16" ht="12.75">
      <c r="A12" s="119" t="s">
        <v>358</v>
      </c>
      <c r="B12" s="120">
        <v>2</v>
      </c>
      <c r="C12" s="147" t="str">
        <f>LOOKUP(D7,M2:M210,K2:K210)</f>
        <v>Enero</v>
      </c>
      <c r="D12" s="147">
        <f>LOOKUP(D7,M2:M289,L2:L289)</f>
        <v>2009</v>
      </c>
      <c r="E12" s="95">
        <f>IF(A39&lt;A21,10,0)</f>
        <v>10</v>
      </c>
      <c r="F12" s="92" t="s">
        <v>68</v>
      </c>
      <c r="G12" s="93">
        <v>2006</v>
      </c>
      <c r="H12" s="41">
        <v>11</v>
      </c>
      <c r="I12" s="29">
        <v>35370</v>
      </c>
      <c r="J12" s="32">
        <v>30</v>
      </c>
      <c r="K12" s="22" t="s">
        <v>147</v>
      </c>
      <c r="L12" s="22">
        <v>1996</v>
      </c>
      <c r="M12" s="31">
        <v>11</v>
      </c>
      <c r="N12" s="10"/>
      <c r="O12" s="93">
        <v>2006</v>
      </c>
      <c r="P12" s="10"/>
    </row>
    <row r="13" spans="1:16" ht="13.5" thickBot="1">
      <c r="A13" s="121" t="s">
        <v>357</v>
      </c>
      <c r="B13" s="122">
        <v>3</v>
      </c>
      <c r="C13" s="113"/>
      <c r="D13" s="113"/>
      <c r="E13" s="96"/>
      <c r="F13" s="92" t="s">
        <v>69</v>
      </c>
      <c r="G13" s="93">
        <v>2007</v>
      </c>
      <c r="H13" s="41">
        <v>12</v>
      </c>
      <c r="I13" s="29">
        <v>35400</v>
      </c>
      <c r="J13" s="32">
        <v>31</v>
      </c>
      <c r="K13" s="22" t="s">
        <v>148</v>
      </c>
      <c r="L13" s="22">
        <v>1996</v>
      </c>
      <c r="M13" s="31">
        <v>12</v>
      </c>
      <c r="N13" s="10"/>
      <c r="O13" s="93">
        <v>2007</v>
      </c>
      <c r="P13" s="10"/>
    </row>
    <row r="14" spans="1:16" ht="13.5" thickBot="1">
      <c r="A14" s="113"/>
      <c r="B14" s="113"/>
      <c r="C14" s="113"/>
      <c r="D14" s="113"/>
      <c r="E14" s="96"/>
      <c r="F14" s="97"/>
      <c r="G14" s="98">
        <v>2008</v>
      </c>
      <c r="H14" s="41">
        <v>13</v>
      </c>
      <c r="I14" s="29">
        <v>35431</v>
      </c>
      <c r="J14" s="30">
        <v>31</v>
      </c>
      <c r="K14" s="22" t="s">
        <v>137</v>
      </c>
      <c r="L14" s="22">
        <v>1997</v>
      </c>
      <c r="M14" s="31">
        <v>13</v>
      </c>
      <c r="N14" s="10"/>
      <c r="O14" s="98">
        <v>2008</v>
      </c>
      <c r="P14" s="10"/>
    </row>
    <row r="15" spans="1:16" ht="13.5" thickBot="1">
      <c r="A15" s="701" t="s">
        <v>136</v>
      </c>
      <c r="B15" s="702"/>
      <c r="C15" s="702"/>
      <c r="D15" s="708"/>
      <c r="E15" s="96"/>
      <c r="F15" s="99"/>
      <c r="G15" s="98">
        <v>2009</v>
      </c>
      <c r="H15" s="41">
        <v>14</v>
      </c>
      <c r="I15" s="29">
        <v>35462</v>
      </c>
      <c r="J15" s="30">
        <v>28</v>
      </c>
      <c r="K15" s="22" t="s">
        <v>138</v>
      </c>
      <c r="L15" s="22">
        <v>1997</v>
      </c>
      <c r="M15" s="31">
        <v>14</v>
      </c>
      <c r="N15" s="10"/>
      <c r="O15" s="98">
        <v>2009</v>
      </c>
      <c r="P15" s="10"/>
    </row>
    <row r="16" spans="1:16" ht="12.75">
      <c r="A16" s="114" t="s">
        <v>129</v>
      </c>
      <c r="B16" s="697" t="s">
        <v>164</v>
      </c>
      <c r="C16" s="697"/>
      <c r="D16" s="115" t="s">
        <v>165</v>
      </c>
      <c r="E16" s="96"/>
      <c r="F16" s="99"/>
      <c r="G16" s="98">
        <v>2010</v>
      </c>
      <c r="H16" s="41">
        <v>15</v>
      </c>
      <c r="I16" s="29">
        <v>35490</v>
      </c>
      <c r="J16" s="32">
        <v>31</v>
      </c>
      <c r="K16" s="22" t="s">
        <v>139</v>
      </c>
      <c r="L16" s="22">
        <v>1997</v>
      </c>
      <c r="M16" s="31">
        <v>15</v>
      </c>
      <c r="N16" s="10"/>
      <c r="O16" s="98">
        <v>2010</v>
      </c>
      <c r="P16" s="10"/>
    </row>
    <row r="17" spans="1:16" ht="13.5" thickBot="1">
      <c r="A17" s="249">
        <v>221</v>
      </c>
      <c r="B17" s="704">
        <f>ROUND(G24*G23,2)</f>
        <v>0</v>
      </c>
      <c r="C17" s="704"/>
      <c r="D17" s="123">
        <f>ROUND(G25*G23,2)</f>
        <v>0</v>
      </c>
      <c r="E17" s="100"/>
      <c r="F17" s="99"/>
      <c r="G17" s="98">
        <v>2011</v>
      </c>
      <c r="H17" s="41">
        <v>16</v>
      </c>
      <c r="I17" s="29">
        <v>35521</v>
      </c>
      <c r="J17" s="32">
        <v>30</v>
      </c>
      <c r="K17" s="22" t="s">
        <v>140</v>
      </c>
      <c r="L17" s="22">
        <v>1997</v>
      </c>
      <c r="M17" s="31">
        <v>16</v>
      </c>
      <c r="N17" s="10"/>
      <c r="O17" s="98">
        <v>2011</v>
      </c>
      <c r="P17" s="10"/>
    </row>
    <row r="18" spans="1:16" ht="13.5" thickBot="1">
      <c r="A18" s="124" t="s">
        <v>149</v>
      </c>
      <c r="B18" s="704">
        <v>2</v>
      </c>
      <c r="C18" s="712"/>
      <c r="D18" s="113"/>
      <c r="E18" s="715" t="s">
        <v>73</v>
      </c>
      <c r="F18" s="690"/>
      <c r="G18" s="101">
        <v>14</v>
      </c>
      <c r="H18" s="41">
        <v>17</v>
      </c>
      <c r="I18" s="29">
        <v>35551</v>
      </c>
      <c r="J18" s="32">
        <v>31</v>
      </c>
      <c r="K18" s="22" t="s">
        <v>141</v>
      </c>
      <c r="L18" s="22">
        <v>1997</v>
      </c>
      <c r="M18" s="31">
        <v>17</v>
      </c>
      <c r="N18" s="10"/>
      <c r="O18" s="98">
        <f aca="true" t="shared" si="0" ref="O18:O27">O17+1</f>
        <v>2012</v>
      </c>
      <c r="P18" s="10"/>
    </row>
    <row r="19" spans="1:16" ht="13.5" thickBot="1">
      <c r="A19" s="706" t="s">
        <v>150</v>
      </c>
      <c r="B19" s="707"/>
      <c r="C19" s="703"/>
      <c r="D19" s="113"/>
      <c r="E19" s="690" t="s">
        <v>74</v>
      </c>
      <c r="F19" s="690"/>
      <c r="G19" s="102">
        <v>14</v>
      </c>
      <c r="H19" s="41">
        <v>18</v>
      </c>
      <c r="I19" s="29">
        <v>35582</v>
      </c>
      <c r="J19" s="32">
        <v>30</v>
      </c>
      <c r="K19" s="22" t="s">
        <v>142</v>
      </c>
      <c r="L19" s="22">
        <v>1997</v>
      </c>
      <c r="M19" s="31">
        <v>18</v>
      </c>
      <c r="N19" s="10"/>
      <c r="O19" s="98">
        <f t="shared" si="0"/>
        <v>2013</v>
      </c>
      <c r="P19" s="10"/>
    </row>
    <row r="20" spans="1:16" ht="12.75">
      <c r="A20" s="114" t="s">
        <v>129</v>
      </c>
      <c r="B20" s="697" t="s">
        <v>151</v>
      </c>
      <c r="C20" s="698"/>
      <c r="D20" s="113"/>
      <c r="E20" s="690" t="s">
        <v>159</v>
      </c>
      <c r="F20" s="690"/>
      <c r="G20" s="102">
        <v>14</v>
      </c>
      <c r="H20" s="41">
        <v>19</v>
      </c>
      <c r="I20" s="29">
        <v>35612</v>
      </c>
      <c r="J20" s="32">
        <v>31</v>
      </c>
      <c r="K20" s="22" t="s">
        <v>143</v>
      </c>
      <c r="L20" s="22">
        <v>1997</v>
      </c>
      <c r="M20" s="31">
        <v>19</v>
      </c>
      <c r="N20" s="10"/>
      <c r="O20" s="98">
        <f t="shared" si="0"/>
        <v>2014</v>
      </c>
      <c r="P20" s="10"/>
    </row>
    <row r="21" spans="1:16" ht="13.5" thickBot="1">
      <c r="A21" s="125">
        <v>253</v>
      </c>
      <c r="B21" s="699">
        <v>34</v>
      </c>
      <c r="C21" s="700"/>
      <c r="D21" s="113"/>
      <c r="E21" s="690" t="s">
        <v>160</v>
      </c>
      <c r="F21" s="690"/>
      <c r="G21" s="103">
        <v>14</v>
      </c>
      <c r="H21" s="41">
        <v>20</v>
      </c>
      <c r="I21" s="29">
        <v>35643</v>
      </c>
      <c r="J21" s="32">
        <v>31</v>
      </c>
      <c r="K21" s="22" t="s">
        <v>144</v>
      </c>
      <c r="L21" s="22">
        <v>1997</v>
      </c>
      <c r="M21" s="31">
        <v>20</v>
      </c>
      <c r="N21" s="10"/>
      <c r="O21" s="98">
        <f t="shared" si="0"/>
        <v>2015</v>
      </c>
      <c r="P21" s="10"/>
    </row>
    <row r="22" spans="1:16" ht="13.5" thickBot="1">
      <c r="A22" s="113"/>
      <c r="B22" s="113"/>
      <c r="C22" s="113"/>
      <c r="D22" s="113"/>
      <c r="E22" s="690" t="s">
        <v>166</v>
      </c>
      <c r="F22" s="690"/>
      <c r="G22" s="104">
        <v>50</v>
      </c>
      <c r="H22" s="42">
        <v>21</v>
      </c>
      <c r="I22" s="29">
        <v>35674</v>
      </c>
      <c r="J22" s="32">
        <v>30</v>
      </c>
      <c r="K22" s="22" t="s">
        <v>145</v>
      </c>
      <c r="L22" s="22">
        <v>1997</v>
      </c>
      <c r="M22" s="31">
        <v>21</v>
      </c>
      <c r="N22" s="10"/>
      <c r="O22" s="98">
        <f t="shared" si="0"/>
        <v>2016</v>
      </c>
      <c r="P22" s="10"/>
    </row>
    <row r="23" spans="1:16" ht="13.5" thickBot="1">
      <c r="A23" s="694" t="s">
        <v>158</v>
      </c>
      <c r="B23" s="695"/>
      <c r="C23" s="695"/>
      <c r="D23" s="695"/>
      <c r="E23" s="696" t="s">
        <v>167</v>
      </c>
      <c r="F23" s="696"/>
      <c r="G23" s="465">
        <v>0.5</v>
      </c>
      <c r="H23" s="42">
        <v>22</v>
      </c>
      <c r="I23" s="29">
        <v>35704</v>
      </c>
      <c r="J23" s="32">
        <v>31</v>
      </c>
      <c r="K23" s="22" t="s">
        <v>146</v>
      </c>
      <c r="L23" s="22">
        <v>1997</v>
      </c>
      <c r="M23" s="31">
        <v>22</v>
      </c>
      <c r="N23" s="10"/>
      <c r="O23" s="98">
        <f t="shared" si="0"/>
        <v>2017</v>
      </c>
      <c r="P23" s="10"/>
    </row>
    <row r="24" spans="1:16" ht="12.75">
      <c r="A24" s="107" t="s">
        <v>72</v>
      </c>
      <c r="B24" s="108" t="s">
        <v>70</v>
      </c>
      <c r="C24" s="108" t="s">
        <v>71</v>
      </c>
      <c r="D24" s="109" t="s">
        <v>129</v>
      </c>
      <c r="E24" s="696" t="s">
        <v>169</v>
      </c>
      <c r="F24" s="696"/>
      <c r="G24" s="105">
        <f>INDEX(CERTIFICACIONES!C5:C54,AUXILIAR!B18)</f>
        <v>0</v>
      </c>
      <c r="H24" s="42">
        <v>23</v>
      </c>
      <c r="I24" s="29">
        <v>35735</v>
      </c>
      <c r="J24" s="32">
        <v>30</v>
      </c>
      <c r="K24" s="22" t="s">
        <v>147</v>
      </c>
      <c r="L24" s="22">
        <v>1997</v>
      </c>
      <c r="M24" s="31">
        <v>23</v>
      </c>
      <c r="N24" s="10"/>
      <c r="O24" s="98">
        <f t="shared" si="0"/>
        <v>2018</v>
      </c>
      <c r="P24" s="10"/>
    </row>
    <row r="25" spans="1:25" ht="13.5" thickBot="1">
      <c r="A25" s="126">
        <v>20</v>
      </c>
      <c r="B25" s="127">
        <v>1</v>
      </c>
      <c r="C25" s="128">
        <f>1995+G21</f>
        <v>2009</v>
      </c>
      <c r="D25" s="128">
        <f>B25+12*(C25-1996)</f>
        <v>157</v>
      </c>
      <c r="E25" s="673" t="s">
        <v>168</v>
      </c>
      <c r="F25" s="673"/>
      <c r="G25" s="106">
        <f>INDEX(CERTIFICACIONES!F5:F54,AUXILIAR!B18)</f>
        <v>0</v>
      </c>
      <c r="H25" s="41">
        <v>24</v>
      </c>
      <c r="I25" s="29">
        <v>35765</v>
      </c>
      <c r="J25" s="32">
        <v>31</v>
      </c>
      <c r="K25" s="22" t="s">
        <v>148</v>
      </c>
      <c r="L25" s="22">
        <v>1997</v>
      </c>
      <c r="M25" s="31">
        <v>24</v>
      </c>
      <c r="N25" s="10"/>
      <c r="O25" s="98">
        <f t="shared" si="0"/>
        <v>2019</v>
      </c>
      <c r="P25" s="10"/>
      <c r="Y25">
        <v>221</v>
      </c>
    </row>
    <row r="26" spans="1:16" ht="12.75">
      <c r="A26" s="679" t="s">
        <v>207</v>
      </c>
      <c r="B26" s="680"/>
      <c r="C26" s="680"/>
      <c r="D26" s="680"/>
      <c r="E26" s="680"/>
      <c r="F26" s="680"/>
      <c r="G26" s="681"/>
      <c r="H26" s="42">
        <v>25</v>
      </c>
      <c r="I26" s="29">
        <v>35796</v>
      </c>
      <c r="J26" s="30">
        <v>31</v>
      </c>
      <c r="K26" s="22" t="s">
        <v>137</v>
      </c>
      <c r="L26" s="22">
        <v>1998</v>
      </c>
      <c r="M26" s="31">
        <v>25</v>
      </c>
      <c r="N26" s="10"/>
      <c r="O26" s="98">
        <f t="shared" si="0"/>
        <v>2020</v>
      </c>
      <c r="P26" s="10"/>
    </row>
    <row r="27" spans="1:16" ht="12.75">
      <c r="A27" s="682"/>
      <c r="B27" s="683"/>
      <c r="C27" s="683"/>
      <c r="D27" s="683"/>
      <c r="E27" s="683"/>
      <c r="F27" s="683"/>
      <c r="G27" s="684"/>
      <c r="H27" s="42">
        <v>26</v>
      </c>
      <c r="I27" s="29">
        <v>35827</v>
      </c>
      <c r="J27" s="30">
        <v>28</v>
      </c>
      <c r="K27" s="22" t="s">
        <v>138</v>
      </c>
      <c r="L27" s="22">
        <v>1998</v>
      </c>
      <c r="M27" s="31">
        <v>26</v>
      </c>
      <c r="N27" s="10"/>
      <c r="O27" s="98">
        <f t="shared" si="0"/>
        <v>2021</v>
      </c>
      <c r="P27" s="10"/>
    </row>
    <row r="28" spans="1:16" ht="13.5" thickBot="1">
      <c r="A28" s="685"/>
      <c r="B28" s="686"/>
      <c r="C28" s="686"/>
      <c r="D28" s="686"/>
      <c r="E28" s="686"/>
      <c r="F28" s="686"/>
      <c r="G28" s="687"/>
      <c r="H28" s="42">
        <v>27</v>
      </c>
      <c r="I28" s="29">
        <v>35855</v>
      </c>
      <c r="J28" s="32">
        <v>31</v>
      </c>
      <c r="K28" s="22" t="s">
        <v>139</v>
      </c>
      <c r="L28" s="22">
        <v>1998</v>
      </c>
      <c r="M28" s="31">
        <v>27</v>
      </c>
      <c r="N28" s="10"/>
      <c r="O28" s="10"/>
      <c r="P28" s="10"/>
    </row>
    <row r="29" spans="1:16" ht="12.75">
      <c r="A29" s="33">
        <v>1</v>
      </c>
      <c r="B29" s="44" t="s">
        <v>214</v>
      </c>
      <c r="C29" s="34"/>
      <c r="D29" s="44" t="s">
        <v>214</v>
      </c>
      <c r="E29" s="33">
        <v>3</v>
      </c>
      <c r="F29" s="45" t="s">
        <v>215</v>
      </c>
      <c r="G29" s="33">
        <f>E4+E6+E8</f>
        <v>0</v>
      </c>
      <c r="H29" s="41">
        <v>28</v>
      </c>
      <c r="I29" s="29">
        <v>35886</v>
      </c>
      <c r="J29" s="32">
        <v>30</v>
      </c>
      <c r="K29" s="22" t="s">
        <v>140</v>
      </c>
      <c r="L29" s="22">
        <v>1998</v>
      </c>
      <c r="M29" s="31">
        <v>28</v>
      </c>
      <c r="N29" s="10"/>
      <c r="O29" s="10"/>
      <c r="P29" s="10"/>
    </row>
    <row r="30" spans="1:16" ht="12.75">
      <c r="A30" s="10"/>
      <c r="B30" s="34" t="s">
        <v>216</v>
      </c>
      <c r="C30" s="24"/>
      <c r="D30" s="42" t="s">
        <v>201</v>
      </c>
      <c r="E30" s="10"/>
      <c r="F30" s="45" t="s">
        <v>218</v>
      </c>
      <c r="G30" s="33">
        <f>IF(ROUND(CERTIFICACIONES!H55,2)&gt;INICIO!B30,1,0)</f>
        <v>0</v>
      </c>
      <c r="H30" s="41">
        <v>29</v>
      </c>
      <c r="I30" s="29">
        <v>35916</v>
      </c>
      <c r="J30" s="32">
        <v>31</v>
      </c>
      <c r="K30" s="22" t="s">
        <v>141</v>
      </c>
      <c r="L30" s="22">
        <v>1998</v>
      </c>
      <c r="M30" s="31">
        <v>29</v>
      </c>
      <c r="N30" s="10"/>
      <c r="O30" s="10"/>
      <c r="P30" s="10"/>
    </row>
    <row r="31" spans="1:16" ht="12.75">
      <c r="A31" s="10"/>
      <c r="B31" s="34" t="s">
        <v>217</v>
      </c>
      <c r="C31" s="24"/>
      <c r="D31" s="35" t="s">
        <v>202</v>
      </c>
      <c r="E31" s="10"/>
      <c r="F31" s="10" t="s">
        <v>219</v>
      </c>
      <c r="G31" s="10"/>
      <c r="H31" s="41">
        <v>30</v>
      </c>
      <c r="I31" s="29">
        <v>35947</v>
      </c>
      <c r="J31" s="32">
        <v>30</v>
      </c>
      <c r="K31" s="22" t="s">
        <v>142</v>
      </c>
      <c r="L31" s="22">
        <v>1998</v>
      </c>
      <c r="M31" s="31">
        <v>30</v>
      </c>
      <c r="N31" s="10"/>
      <c r="O31" s="10"/>
      <c r="P31" s="10"/>
    </row>
    <row r="32" spans="1:16" ht="12.75">
      <c r="A32" s="10"/>
      <c r="B32" s="24" t="s">
        <v>198</v>
      </c>
      <c r="C32" s="34"/>
      <c r="D32" s="10"/>
      <c r="E32" s="10"/>
      <c r="F32" s="10" t="s">
        <v>228</v>
      </c>
      <c r="G32" s="10">
        <f>IF(A39&lt;A9,8,0)</f>
        <v>0</v>
      </c>
      <c r="H32" s="43">
        <v>31</v>
      </c>
      <c r="I32" s="29">
        <v>35977</v>
      </c>
      <c r="J32" s="32">
        <v>31</v>
      </c>
      <c r="K32" s="22" t="s">
        <v>143</v>
      </c>
      <c r="L32" s="22">
        <v>1998</v>
      </c>
      <c r="M32" s="31">
        <v>31</v>
      </c>
      <c r="N32" s="10"/>
      <c r="O32" s="10"/>
      <c r="P32" s="10"/>
    </row>
    <row r="33" spans="1:16" ht="12.75">
      <c r="A33" s="10"/>
      <c r="B33" s="24" t="s">
        <v>199</v>
      </c>
      <c r="C33" s="51"/>
      <c r="D33" s="10"/>
      <c r="E33" s="10"/>
      <c r="F33" s="10" t="s">
        <v>229</v>
      </c>
      <c r="G33" s="10">
        <f>IF(A39&lt;A21,10,0)</f>
        <v>10</v>
      </c>
      <c r="H33" s="10"/>
      <c r="I33" s="29">
        <v>36008</v>
      </c>
      <c r="J33" s="32">
        <v>31</v>
      </c>
      <c r="K33" s="22" t="s">
        <v>144</v>
      </c>
      <c r="L33" s="22">
        <v>1998</v>
      </c>
      <c r="M33" s="31">
        <v>32</v>
      </c>
      <c r="N33" s="10"/>
      <c r="O33" s="10"/>
      <c r="P33" s="10"/>
    </row>
    <row r="34" spans="1:16" ht="12.75">
      <c r="A34" s="10"/>
      <c r="B34" s="34" t="s">
        <v>200</v>
      </c>
      <c r="C34" s="10"/>
      <c r="D34" s="10"/>
      <c r="E34" s="10"/>
      <c r="F34" s="10"/>
      <c r="G34" s="10"/>
      <c r="H34" s="10"/>
      <c r="I34" s="29">
        <v>36039</v>
      </c>
      <c r="J34" s="32">
        <v>30</v>
      </c>
      <c r="K34" s="22" t="s">
        <v>145</v>
      </c>
      <c r="L34" s="22">
        <v>1998</v>
      </c>
      <c r="M34" s="31">
        <v>33</v>
      </c>
      <c r="N34" s="10"/>
      <c r="O34" s="10"/>
      <c r="P34" s="10"/>
    </row>
    <row r="35" spans="1:16" ht="12.75">
      <c r="A35" s="10"/>
      <c r="B35" s="10"/>
      <c r="C35" s="10"/>
      <c r="D35" s="10"/>
      <c r="E35" s="10"/>
      <c r="F35" s="10"/>
      <c r="G35" s="10"/>
      <c r="H35" s="10"/>
      <c r="I35" s="29">
        <v>36069</v>
      </c>
      <c r="J35" s="32">
        <v>31</v>
      </c>
      <c r="K35" s="22" t="s">
        <v>146</v>
      </c>
      <c r="L35" s="22">
        <v>1998</v>
      </c>
      <c r="M35" s="31">
        <v>34</v>
      </c>
      <c r="N35" s="10"/>
      <c r="O35" s="10"/>
      <c r="P35" s="10"/>
    </row>
    <row r="36" spans="1:16" ht="13.5" thickBot="1">
      <c r="A36" s="10">
        <v>0</v>
      </c>
      <c r="B36" s="10"/>
      <c r="C36" s="10"/>
      <c r="D36" s="10"/>
      <c r="E36" s="10"/>
      <c r="F36" s="10"/>
      <c r="G36" s="10"/>
      <c r="H36" s="10"/>
      <c r="I36" s="29">
        <v>36100</v>
      </c>
      <c r="J36" s="32">
        <v>30</v>
      </c>
      <c r="K36" s="22" t="s">
        <v>147</v>
      </c>
      <c r="L36" s="22">
        <v>1998</v>
      </c>
      <c r="M36" s="31">
        <v>35</v>
      </c>
      <c r="N36" s="10"/>
      <c r="O36" s="10"/>
      <c r="P36" s="10"/>
    </row>
    <row r="37" spans="1:16" ht="13.5" thickBot="1">
      <c r="A37" s="676" t="s">
        <v>221</v>
      </c>
      <c r="B37" s="677"/>
      <c r="C37" s="678"/>
      <c r="D37" s="10"/>
      <c r="E37" s="10"/>
      <c r="F37" s="10"/>
      <c r="G37" s="10"/>
      <c r="H37" s="10"/>
      <c r="I37" s="29">
        <v>36130</v>
      </c>
      <c r="J37" s="32">
        <v>31</v>
      </c>
      <c r="K37" s="22" t="s">
        <v>148</v>
      </c>
      <c r="L37" s="22">
        <v>1998</v>
      </c>
      <c r="M37" s="31">
        <v>36</v>
      </c>
      <c r="N37" s="10"/>
      <c r="O37" s="10"/>
      <c r="P37" s="10"/>
    </row>
    <row r="38" spans="1:16" ht="12.75">
      <c r="A38" s="38" t="s">
        <v>129</v>
      </c>
      <c r="B38" s="37" t="s">
        <v>70</v>
      </c>
      <c r="C38" s="39" t="s">
        <v>71</v>
      </c>
      <c r="D38" s="10"/>
      <c r="E38" s="675" t="s">
        <v>220</v>
      </c>
      <c r="F38" s="675"/>
      <c r="G38" s="52">
        <v>14</v>
      </c>
      <c r="H38" s="10"/>
      <c r="I38" s="29">
        <v>36161</v>
      </c>
      <c r="J38" s="30">
        <v>31</v>
      </c>
      <c r="K38" s="22" t="s">
        <v>137</v>
      </c>
      <c r="L38" s="22">
        <v>1999</v>
      </c>
      <c r="M38" s="31">
        <v>37</v>
      </c>
      <c r="N38" s="10"/>
      <c r="O38" s="10"/>
      <c r="P38" s="10"/>
    </row>
    <row r="39" spans="1:16" ht="12.75">
      <c r="A39" s="129">
        <f>B39+12*(C39-1996)</f>
        <v>157</v>
      </c>
      <c r="B39" s="130">
        <v>1</v>
      </c>
      <c r="C39" s="131">
        <f>1995+G38</f>
        <v>2009</v>
      </c>
      <c r="D39" s="53">
        <f>INDEX(I2:I313,A39)</f>
        <v>39814</v>
      </c>
      <c r="E39" s="675" t="s">
        <v>230</v>
      </c>
      <c r="F39" s="675"/>
      <c r="G39" s="52">
        <f>A39-A9+1</f>
        <v>1</v>
      </c>
      <c r="H39" s="10"/>
      <c r="I39" s="29">
        <v>36192</v>
      </c>
      <c r="J39" s="30">
        <v>28</v>
      </c>
      <c r="K39" s="22" t="s">
        <v>138</v>
      </c>
      <c r="L39" s="22">
        <v>1999</v>
      </c>
      <c r="M39" s="31">
        <v>38</v>
      </c>
      <c r="N39" s="10"/>
      <c r="O39" s="10"/>
      <c r="P39" s="10"/>
    </row>
    <row r="40" spans="1:16" ht="12.75">
      <c r="A40" s="688"/>
      <c r="B40" s="688"/>
      <c r="C40" s="688"/>
      <c r="D40" s="11"/>
      <c r="E40" s="11"/>
      <c r="F40" s="11"/>
      <c r="G40" s="11"/>
      <c r="H40" s="11"/>
      <c r="I40" s="29">
        <v>36220</v>
      </c>
      <c r="J40" s="32">
        <v>31</v>
      </c>
      <c r="K40" s="22" t="s">
        <v>139</v>
      </c>
      <c r="L40" s="22">
        <v>1999</v>
      </c>
      <c r="M40" s="31">
        <v>39</v>
      </c>
      <c r="N40" s="10"/>
      <c r="O40" s="10"/>
      <c r="P40" s="10"/>
    </row>
    <row r="41" spans="1:16" ht="12.75">
      <c r="A41" s="59"/>
      <c r="B41" s="132"/>
      <c r="C41" s="132"/>
      <c r="D41" s="11"/>
      <c r="E41" s="11"/>
      <c r="F41" s="11"/>
      <c r="G41" s="11"/>
      <c r="H41" s="11"/>
      <c r="I41" s="29">
        <v>36251</v>
      </c>
      <c r="J41" s="32">
        <v>30</v>
      </c>
      <c r="K41" s="22" t="s">
        <v>140</v>
      </c>
      <c r="L41" s="22">
        <v>1999</v>
      </c>
      <c r="M41" s="31">
        <v>40</v>
      </c>
      <c r="N41" s="10"/>
      <c r="O41" s="10"/>
      <c r="P41" s="10"/>
    </row>
    <row r="42" spans="1:16" ht="12.75">
      <c r="A42" s="11" t="s">
        <v>278</v>
      </c>
      <c r="B42" s="11"/>
      <c r="C42" s="11"/>
      <c r="D42" s="11"/>
      <c r="E42" s="11"/>
      <c r="F42" s="11"/>
      <c r="G42" s="11"/>
      <c r="H42" s="11"/>
      <c r="I42" s="29">
        <v>36281</v>
      </c>
      <c r="J42" s="32">
        <v>31</v>
      </c>
      <c r="K42" s="22" t="s">
        <v>141</v>
      </c>
      <c r="L42" s="22">
        <v>1999</v>
      </c>
      <c r="M42" s="31">
        <v>41</v>
      </c>
      <c r="N42" s="10"/>
      <c r="O42" s="10"/>
      <c r="P42" s="10"/>
    </row>
    <row r="43" spans="1:16" ht="12.75">
      <c r="A43" s="55" t="s">
        <v>279</v>
      </c>
      <c r="B43" s="71">
        <f>D11</f>
        <v>1</v>
      </c>
      <c r="C43" s="11" t="s">
        <v>281</v>
      </c>
      <c r="D43" s="11">
        <f>IF(INICIO!G32=0,0,1)</f>
        <v>0</v>
      </c>
      <c r="E43" s="11"/>
      <c r="F43" s="11"/>
      <c r="G43" s="11"/>
      <c r="H43" s="11"/>
      <c r="I43" s="29">
        <v>36312</v>
      </c>
      <c r="J43" s="32">
        <v>30</v>
      </c>
      <c r="K43" s="22" t="s">
        <v>142</v>
      </c>
      <c r="L43" s="22">
        <v>1999</v>
      </c>
      <c r="M43" s="31">
        <v>42</v>
      </c>
      <c r="N43" s="10"/>
      <c r="O43" s="10"/>
      <c r="P43" s="10"/>
    </row>
    <row r="44" spans="1:16" ht="12.75">
      <c r="A44" s="55"/>
      <c r="B44" s="54"/>
      <c r="C44" s="11"/>
      <c r="D44" s="55"/>
      <c r="E44" s="713"/>
      <c r="F44" s="714"/>
      <c r="G44" s="11"/>
      <c r="H44" s="11"/>
      <c r="I44" s="29">
        <v>36342</v>
      </c>
      <c r="J44" s="32">
        <v>31</v>
      </c>
      <c r="K44" s="22" t="s">
        <v>143</v>
      </c>
      <c r="L44" s="22">
        <v>1999</v>
      </c>
      <c r="M44" s="31">
        <v>43</v>
      </c>
      <c r="N44" s="10"/>
      <c r="O44" s="10"/>
      <c r="P44" s="10"/>
    </row>
    <row r="45" spans="1:16" ht="12.75">
      <c r="A45" s="55"/>
      <c r="B45" s="54" t="s">
        <v>280</v>
      </c>
      <c r="C45" s="56">
        <f>IF(B43=2,IF(D43=0,1,0),0)</f>
        <v>0</v>
      </c>
      <c r="D45" s="55"/>
      <c r="E45" s="713"/>
      <c r="F45" s="713"/>
      <c r="G45" s="11"/>
      <c r="H45" s="11"/>
      <c r="I45" s="29">
        <v>36373</v>
      </c>
      <c r="J45" s="32">
        <v>31</v>
      </c>
      <c r="K45" s="22" t="s">
        <v>144</v>
      </c>
      <c r="L45" s="22">
        <v>1999</v>
      </c>
      <c r="M45" s="31">
        <v>44</v>
      </c>
      <c r="N45" s="10"/>
      <c r="O45" s="10"/>
      <c r="P45" s="10"/>
    </row>
    <row r="46" spans="1:16" ht="12.75">
      <c r="A46" s="11"/>
      <c r="B46" s="11"/>
      <c r="C46" s="11"/>
      <c r="D46" s="11"/>
      <c r="E46" s="11"/>
      <c r="F46" s="11"/>
      <c r="G46" s="11"/>
      <c r="H46" s="11"/>
      <c r="I46" s="29">
        <v>36404</v>
      </c>
      <c r="J46" s="32">
        <v>30</v>
      </c>
      <c r="K46" s="22" t="s">
        <v>145</v>
      </c>
      <c r="L46" s="22">
        <v>1999</v>
      </c>
      <c r="M46" s="31">
        <v>45</v>
      </c>
      <c r="N46" s="10"/>
      <c r="O46" s="10"/>
      <c r="P46" s="10"/>
    </row>
    <row r="47" spans="1:16" ht="12.75">
      <c r="A47" s="674" t="s">
        <v>295</v>
      </c>
      <c r="B47" s="674"/>
      <c r="C47" s="674"/>
      <c r="D47" s="674"/>
      <c r="E47" s="689"/>
      <c r="F47" s="689"/>
      <c r="G47" s="11">
        <v>7</v>
      </c>
      <c r="H47" s="11"/>
      <c r="I47" s="29">
        <v>36434</v>
      </c>
      <c r="J47" s="32">
        <v>31</v>
      </c>
      <c r="K47" s="22" t="s">
        <v>146</v>
      </c>
      <c r="L47" s="22">
        <v>1999</v>
      </c>
      <c r="M47" s="31">
        <v>46</v>
      </c>
      <c r="N47" s="10"/>
      <c r="O47" s="10"/>
      <c r="P47" s="10"/>
    </row>
    <row r="48" spans="1:16" ht="12.75">
      <c r="A48" s="10" t="s">
        <v>296</v>
      </c>
      <c r="B48" s="57" t="s">
        <v>299</v>
      </c>
      <c r="C48" s="137">
        <v>1</v>
      </c>
      <c r="D48" s="57" t="s">
        <v>302</v>
      </c>
      <c r="E48" s="138">
        <v>1</v>
      </c>
      <c r="F48" s="57" t="s">
        <v>301</v>
      </c>
      <c r="G48" s="136">
        <f>C48+12*(E49-1996)</f>
        <v>1</v>
      </c>
      <c r="H48" s="11"/>
      <c r="I48" s="29">
        <v>36465</v>
      </c>
      <c r="J48" s="32">
        <v>30</v>
      </c>
      <c r="K48" s="22" t="s">
        <v>147</v>
      </c>
      <c r="L48" s="22">
        <v>1999</v>
      </c>
      <c r="M48" s="31">
        <v>47</v>
      </c>
      <c r="N48" s="10"/>
      <c r="O48" s="10"/>
      <c r="P48" s="10"/>
    </row>
    <row r="49" spans="1:16" ht="12.75">
      <c r="A49" s="10"/>
      <c r="B49" s="59"/>
      <c r="C49" s="22"/>
      <c r="D49" s="12" t="s">
        <v>300</v>
      </c>
      <c r="E49" s="56">
        <f>E48+1995</f>
        <v>1996</v>
      </c>
      <c r="F49" s="139" t="s">
        <v>10</v>
      </c>
      <c r="G49" s="140">
        <f>INDEX(I2:I210,G48)</f>
        <v>35065</v>
      </c>
      <c r="H49" s="11"/>
      <c r="I49" s="29">
        <v>36495</v>
      </c>
      <c r="J49" s="32">
        <v>31</v>
      </c>
      <c r="K49" s="22" t="s">
        <v>148</v>
      </c>
      <c r="L49" s="22">
        <v>1999</v>
      </c>
      <c r="M49" s="31">
        <v>48</v>
      </c>
      <c r="N49" s="10"/>
      <c r="O49" s="10"/>
      <c r="P49" s="10"/>
    </row>
    <row r="50" spans="1:16" ht="12.75">
      <c r="A50" s="10" t="s">
        <v>303</v>
      </c>
      <c r="B50" s="57" t="s">
        <v>299</v>
      </c>
      <c r="C50" s="137">
        <v>1</v>
      </c>
      <c r="D50" s="57" t="s">
        <v>302</v>
      </c>
      <c r="E50" s="138">
        <v>1</v>
      </c>
      <c r="F50" s="57" t="s">
        <v>301</v>
      </c>
      <c r="G50" s="136">
        <f>C50+12*(E51-1996)</f>
        <v>1</v>
      </c>
      <c r="H50" s="11"/>
      <c r="I50" s="29">
        <v>36526</v>
      </c>
      <c r="J50" s="30">
        <v>31</v>
      </c>
      <c r="K50" s="22" t="s">
        <v>137</v>
      </c>
      <c r="L50" s="22">
        <v>2000</v>
      </c>
      <c r="M50" s="31">
        <v>49</v>
      </c>
      <c r="N50" s="10"/>
      <c r="O50" s="10"/>
      <c r="P50" s="10"/>
    </row>
    <row r="51" spans="1:16" ht="13.5" thickBot="1">
      <c r="A51" s="23"/>
      <c r="B51" s="59"/>
      <c r="C51" s="22"/>
      <c r="D51" s="12" t="s">
        <v>300</v>
      </c>
      <c r="E51" s="56">
        <f>E50+1995</f>
        <v>1996</v>
      </c>
      <c r="F51" s="139" t="s">
        <v>10</v>
      </c>
      <c r="G51" s="140">
        <f>INDEX(I2:I210,G50)</f>
        <v>35065</v>
      </c>
      <c r="H51" s="11"/>
      <c r="I51" s="29">
        <v>36557</v>
      </c>
      <c r="J51" s="30">
        <v>28</v>
      </c>
      <c r="K51" s="22" t="s">
        <v>138</v>
      </c>
      <c r="L51" s="22">
        <v>2000</v>
      </c>
      <c r="M51" s="31">
        <v>50</v>
      </c>
      <c r="N51" s="10"/>
      <c r="O51" s="10"/>
      <c r="P51" s="10"/>
    </row>
    <row r="52" spans="1:16" ht="12.75">
      <c r="A52" s="716" t="s">
        <v>245</v>
      </c>
      <c r="B52" s="716"/>
      <c r="C52" s="716"/>
      <c r="D52" s="716"/>
      <c r="E52" s="716"/>
      <c r="F52" s="716"/>
      <c r="G52" s="716"/>
      <c r="H52" s="11"/>
      <c r="I52" s="29">
        <v>36586</v>
      </c>
      <c r="J52" s="32">
        <v>31</v>
      </c>
      <c r="K52" s="22" t="s">
        <v>139</v>
      </c>
      <c r="L52" s="22">
        <v>2000</v>
      </c>
      <c r="M52" s="31">
        <v>51</v>
      </c>
      <c r="N52" s="10"/>
      <c r="O52" s="10"/>
      <c r="P52" s="10"/>
    </row>
    <row r="53" spans="1:16" ht="13.5" thickBot="1">
      <c r="A53" s="717"/>
      <c r="B53" s="717"/>
      <c r="C53" s="717"/>
      <c r="D53" s="717"/>
      <c r="E53" s="717"/>
      <c r="F53" s="717"/>
      <c r="G53" s="717"/>
      <c r="H53" s="11"/>
      <c r="I53" s="29">
        <v>36617</v>
      </c>
      <c r="J53" s="32">
        <v>30</v>
      </c>
      <c r="K53" s="22" t="s">
        <v>140</v>
      </c>
      <c r="L53" s="22">
        <v>2000</v>
      </c>
      <c r="M53" s="31">
        <v>52</v>
      </c>
      <c r="N53" s="10"/>
      <c r="O53" s="10"/>
      <c r="P53" s="10"/>
    </row>
    <row r="54" spans="1:16" ht="12.75">
      <c r="A54" s="11"/>
      <c r="B54" s="11"/>
      <c r="C54" s="11"/>
      <c r="D54" s="11"/>
      <c r="E54" s="11"/>
      <c r="F54" s="11"/>
      <c r="G54" s="11"/>
      <c r="H54" s="11"/>
      <c r="I54" s="29">
        <v>36647</v>
      </c>
      <c r="J54" s="32">
        <v>31</v>
      </c>
      <c r="K54" s="22" t="s">
        <v>141</v>
      </c>
      <c r="L54" s="22">
        <v>2000</v>
      </c>
      <c r="M54" s="31">
        <v>53</v>
      </c>
      <c r="N54" s="10"/>
      <c r="O54" s="10"/>
      <c r="P54" s="10"/>
    </row>
    <row r="55" spans="1:16" ht="12.75">
      <c r="A55" s="65" t="s">
        <v>233</v>
      </c>
      <c r="B55" s="60"/>
      <c r="C55" s="60"/>
      <c r="D55" s="60"/>
      <c r="E55" s="11"/>
      <c r="F55" s="11"/>
      <c r="G55" s="11"/>
      <c r="H55" s="11"/>
      <c r="I55" s="29">
        <v>36678</v>
      </c>
      <c r="J55" s="32">
        <v>30</v>
      </c>
      <c r="K55" s="22" t="s">
        <v>142</v>
      </c>
      <c r="L55" s="22">
        <v>2000</v>
      </c>
      <c r="M55" s="31">
        <v>54</v>
      </c>
      <c r="N55" s="10"/>
      <c r="O55" s="10"/>
      <c r="P55" s="10"/>
    </row>
    <row r="56" spans="1:16" ht="12.75">
      <c r="A56" s="61">
        <v>1</v>
      </c>
      <c r="B56" s="718" t="s">
        <v>244</v>
      </c>
      <c r="C56" s="718"/>
      <c r="D56" s="61"/>
      <c r="E56" s="11"/>
      <c r="F56" s="11"/>
      <c r="G56" s="11"/>
      <c r="H56" s="11"/>
      <c r="I56" s="29">
        <v>36708</v>
      </c>
      <c r="J56" s="32">
        <v>31</v>
      </c>
      <c r="K56" s="22" t="s">
        <v>143</v>
      </c>
      <c r="L56" s="22">
        <v>2000</v>
      </c>
      <c r="M56" s="31">
        <v>55</v>
      </c>
      <c r="N56" s="10"/>
      <c r="O56" s="10"/>
      <c r="P56" s="10"/>
    </row>
    <row r="57" spans="1:16" ht="12.75">
      <c r="A57" s="12">
        <v>2</v>
      </c>
      <c r="B57" s="705" t="s">
        <v>234</v>
      </c>
      <c r="C57" s="705"/>
      <c r="D57" s="12"/>
      <c r="E57" s="11"/>
      <c r="F57" s="11"/>
      <c r="G57" s="11"/>
      <c r="H57" s="11"/>
      <c r="I57" s="29">
        <v>36739</v>
      </c>
      <c r="J57" s="32">
        <v>31</v>
      </c>
      <c r="K57" s="22" t="s">
        <v>144</v>
      </c>
      <c r="L57" s="22">
        <v>2000</v>
      </c>
      <c r="M57" s="31">
        <v>56</v>
      </c>
      <c r="N57" s="10"/>
      <c r="O57" s="10"/>
      <c r="P57" s="10"/>
    </row>
    <row r="58" spans="1:16" ht="12.75">
      <c r="A58" s="12">
        <v>3</v>
      </c>
      <c r="B58" s="705" t="s">
        <v>235</v>
      </c>
      <c r="C58" s="705"/>
      <c r="D58" s="12"/>
      <c r="E58" s="11"/>
      <c r="F58" s="11"/>
      <c r="G58" s="11"/>
      <c r="H58" s="11"/>
      <c r="I58" s="29">
        <v>36770</v>
      </c>
      <c r="J58" s="32">
        <v>30</v>
      </c>
      <c r="K58" s="22" t="s">
        <v>145</v>
      </c>
      <c r="L58" s="22">
        <v>2000</v>
      </c>
      <c r="M58" s="31">
        <v>57</v>
      </c>
      <c r="N58" s="10"/>
      <c r="O58" s="10"/>
      <c r="P58" s="10"/>
    </row>
    <row r="59" spans="1:16" ht="12.75">
      <c r="A59" s="12"/>
      <c r="B59" s="12"/>
      <c r="C59" s="12"/>
      <c r="D59" s="12"/>
      <c r="E59" s="11"/>
      <c r="F59" s="11"/>
      <c r="G59" s="11"/>
      <c r="H59" s="11"/>
      <c r="I59" s="29">
        <v>36800</v>
      </c>
      <c r="J59" s="32">
        <v>31</v>
      </c>
      <c r="K59" s="22" t="s">
        <v>146</v>
      </c>
      <c r="L59" s="22">
        <v>2000</v>
      </c>
      <c r="M59" s="31">
        <v>58</v>
      </c>
      <c r="N59" s="10"/>
      <c r="O59" s="10"/>
      <c r="P59" s="10"/>
    </row>
    <row r="60" spans="1:16" ht="12.75">
      <c r="A60" s="63" t="s">
        <v>236</v>
      </c>
      <c r="B60" s="56">
        <f>IF(E62=0,0,IF(B62&gt;=B63,IF(E62&gt;=E63,1,3),2))</f>
        <v>0</v>
      </c>
      <c r="C60" s="12" t="s">
        <v>243</v>
      </c>
      <c r="D60" s="12"/>
      <c r="E60" s="11"/>
      <c r="F60" s="11"/>
      <c r="G60" s="11"/>
      <c r="H60" s="11"/>
      <c r="I60" s="29">
        <v>36831</v>
      </c>
      <c r="J60" s="32">
        <v>30</v>
      </c>
      <c r="K60" s="22" t="s">
        <v>147</v>
      </c>
      <c r="L60" s="22">
        <v>2000</v>
      </c>
      <c r="M60" s="31">
        <v>59</v>
      </c>
      <c r="N60" s="10"/>
      <c r="O60" s="10"/>
      <c r="P60" s="10"/>
    </row>
    <row r="61" spans="1:16" ht="12.75">
      <c r="A61" s="11"/>
      <c r="B61" s="11"/>
      <c r="C61" s="11"/>
      <c r="D61" s="11"/>
      <c r="E61" s="11"/>
      <c r="F61" s="11"/>
      <c r="G61" s="11"/>
      <c r="H61" s="11"/>
      <c r="I61" s="29">
        <v>36861</v>
      </c>
      <c r="J61" s="32">
        <v>31</v>
      </c>
      <c r="K61" s="22" t="s">
        <v>148</v>
      </c>
      <c r="L61" s="22">
        <v>2000</v>
      </c>
      <c r="M61" s="31">
        <v>60</v>
      </c>
      <c r="N61" s="10"/>
      <c r="O61" s="10"/>
      <c r="P61" s="10"/>
    </row>
    <row r="62" spans="1:16" ht="12.75">
      <c r="A62" s="66" t="s">
        <v>196</v>
      </c>
      <c r="B62" s="58">
        <f>INICIO!B32</f>
        <v>0</v>
      </c>
      <c r="C62" s="10"/>
      <c r="D62" s="66" t="s">
        <v>197</v>
      </c>
      <c r="E62" s="689">
        <f>INICIO!G32</f>
        <v>0</v>
      </c>
      <c r="F62" s="689"/>
      <c r="G62" s="10"/>
      <c r="H62" s="11"/>
      <c r="I62" s="29">
        <v>36892</v>
      </c>
      <c r="J62" s="30">
        <v>31</v>
      </c>
      <c r="K62" s="22" t="s">
        <v>137</v>
      </c>
      <c r="L62" s="22">
        <v>2001</v>
      </c>
      <c r="M62" s="31">
        <v>61</v>
      </c>
      <c r="N62" s="10"/>
      <c r="O62" s="10"/>
      <c r="P62" s="10"/>
    </row>
    <row r="63" spans="1:16" ht="12.75">
      <c r="A63" s="66" t="s">
        <v>247</v>
      </c>
      <c r="B63" s="58">
        <f>SUM(CERTIFICACIONES!C5:C54)</f>
        <v>0</v>
      </c>
      <c r="C63" s="10"/>
      <c r="D63" s="66" t="s">
        <v>248</v>
      </c>
      <c r="E63" s="689">
        <f>IF(B43=1,0,SUM(CERTIFICACIONES!F5:F54))</f>
        <v>0</v>
      </c>
      <c r="F63" s="689"/>
      <c r="G63" s="10"/>
      <c r="H63" s="11"/>
      <c r="I63" s="29">
        <v>36923</v>
      </c>
      <c r="J63" s="30">
        <v>28</v>
      </c>
      <c r="K63" s="22" t="s">
        <v>138</v>
      </c>
      <c r="L63" s="22">
        <v>2001</v>
      </c>
      <c r="M63" s="31">
        <v>62</v>
      </c>
      <c r="N63" s="10"/>
      <c r="O63" s="10"/>
      <c r="P63" s="10"/>
    </row>
    <row r="64" spans="1:16" ht="12.75">
      <c r="A64" s="57" t="s">
        <v>249</v>
      </c>
      <c r="B64" s="58">
        <f>B62-B63</f>
        <v>0</v>
      </c>
      <c r="C64" s="10"/>
      <c r="D64" s="57" t="s">
        <v>250</v>
      </c>
      <c r="E64" s="689">
        <f>E62-E63</f>
        <v>0</v>
      </c>
      <c r="F64" s="689"/>
      <c r="G64" s="10"/>
      <c r="H64" s="11"/>
      <c r="I64" s="29">
        <v>36951</v>
      </c>
      <c r="J64" s="32">
        <v>31</v>
      </c>
      <c r="K64" s="22" t="s">
        <v>139</v>
      </c>
      <c r="L64" s="22">
        <v>2001</v>
      </c>
      <c r="M64" s="31">
        <v>63</v>
      </c>
      <c r="N64" s="10"/>
      <c r="O64" s="10"/>
      <c r="P64" s="10"/>
    </row>
    <row r="65" spans="1:16" ht="12.75">
      <c r="A65" s="57"/>
      <c r="B65" s="10"/>
      <c r="C65" s="10"/>
      <c r="D65" s="57"/>
      <c r="E65" s="10"/>
      <c r="F65" s="10"/>
      <c r="G65" s="10"/>
      <c r="H65" s="11"/>
      <c r="I65" s="29">
        <v>36982</v>
      </c>
      <c r="J65" s="32">
        <v>30</v>
      </c>
      <c r="K65" s="22" t="s">
        <v>140</v>
      </c>
      <c r="L65" s="22">
        <v>2001</v>
      </c>
      <c r="M65" s="31">
        <v>64</v>
      </c>
      <c r="N65" s="10"/>
      <c r="O65" s="10"/>
      <c r="P65" s="10"/>
    </row>
    <row r="66" spans="1:16" ht="12.75">
      <c r="A66" s="66" t="s">
        <v>251</v>
      </c>
      <c r="B66" s="64">
        <f>IF(B60=1,B64,IF(B60=2,0,B64+E64))</f>
        <v>0</v>
      </c>
      <c r="C66" s="10"/>
      <c r="D66" s="66" t="s">
        <v>252</v>
      </c>
      <c r="E66" s="719">
        <f>IF(B60=1,E64,IF(B60=2,E64+B64,0))</f>
        <v>0</v>
      </c>
      <c r="F66" s="720"/>
      <c r="G66" s="10"/>
      <c r="H66" s="11"/>
      <c r="I66" s="29">
        <v>37012</v>
      </c>
      <c r="J66" s="32">
        <v>31</v>
      </c>
      <c r="K66" s="22" t="s">
        <v>141</v>
      </c>
      <c r="L66" s="22">
        <v>2001</v>
      </c>
      <c r="M66" s="31">
        <v>65</v>
      </c>
      <c r="N66" s="10"/>
      <c r="O66" s="10"/>
      <c r="P66" s="10"/>
    </row>
    <row r="67" spans="1:16" ht="12.75">
      <c r="A67" s="10"/>
      <c r="B67" s="10"/>
      <c r="C67" s="10"/>
      <c r="D67" s="57"/>
      <c r="E67" s="10"/>
      <c r="F67" s="10"/>
      <c r="G67" s="10"/>
      <c r="H67" s="11"/>
      <c r="I67" s="29">
        <v>37043</v>
      </c>
      <c r="J67" s="32">
        <v>30</v>
      </c>
      <c r="K67" s="22" t="s">
        <v>142</v>
      </c>
      <c r="L67" s="22">
        <v>2001</v>
      </c>
      <c r="M67" s="31">
        <v>66</v>
      </c>
      <c r="N67" s="10"/>
      <c r="O67" s="10"/>
      <c r="P67" s="10"/>
    </row>
    <row r="68" spans="1:16" ht="12.75">
      <c r="A68" s="66" t="s">
        <v>259</v>
      </c>
      <c r="B68" s="64">
        <f>CERTIFICACIONES!C55</f>
        <v>0</v>
      </c>
      <c r="C68" s="10"/>
      <c r="D68" s="66" t="s">
        <v>260</v>
      </c>
      <c r="E68" s="719">
        <f>CERTIFICACIONES!F55</f>
        <v>0</v>
      </c>
      <c r="F68" s="720"/>
      <c r="G68" s="10"/>
      <c r="H68" s="11"/>
      <c r="I68" s="29">
        <v>37073</v>
      </c>
      <c r="J68" s="32">
        <v>31</v>
      </c>
      <c r="K68" s="22" t="s">
        <v>143</v>
      </c>
      <c r="L68" s="22">
        <v>2001</v>
      </c>
      <c r="M68" s="31">
        <v>67</v>
      </c>
      <c r="N68" s="10"/>
      <c r="O68" s="10"/>
      <c r="P68" s="10"/>
    </row>
    <row r="69" spans="1:16" ht="12.75">
      <c r="A69" s="65" t="s">
        <v>237</v>
      </c>
      <c r="B69" s="60"/>
      <c r="C69" s="60"/>
      <c r="D69" s="60"/>
      <c r="E69" s="10"/>
      <c r="F69" s="10"/>
      <c r="G69" s="10"/>
      <c r="H69" s="11"/>
      <c r="I69" s="29">
        <v>37104</v>
      </c>
      <c r="J69" s="32">
        <v>31</v>
      </c>
      <c r="K69" s="22" t="s">
        <v>144</v>
      </c>
      <c r="L69" s="22">
        <v>2001</v>
      </c>
      <c r="M69" s="31">
        <v>68</v>
      </c>
      <c r="N69" s="10"/>
      <c r="O69" s="10"/>
      <c r="P69" s="10"/>
    </row>
    <row r="70" spans="1:16" ht="12.75">
      <c r="A70" s="62">
        <v>1</v>
      </c>
      <c r="B70" s="61" t="s">
        <v>238</v>
      </c>
      <c r="C70" s="61"/>
      <c r="D70" s="61"/>
      <c r="E70" s="11"/>
      <c r="F70" s="11"/>
      <c r="G70" s="11"/>
      <c r="H70" s="11"/>
      <c r="I70" s="29">
        <v>37135</v>
      </c>
      <c r="J70" s="32">
        <v>30</v>
      </c>
      <c r="K70" s="22" t="s">
        <v>145</v>
      </c>
      <c r="L70" s="22">
        <v>2001</v>
      </c>
      <c r="M70" s="31">
        <v>69</v>
      </c>
      <c r="N70" s="10"/>
      <c r="O70" s="10"/>
      <c r="P70" s="10"/>
    </row>
    <row r="71" spans="1:16" ht="12.75">
      <c r="A71" s="12">
        <v>2</v>
      </c>
      <c r="B71" s="12" t="s">
        <v>239</v>
      </c>
      <c r="C71" s="12"/>
      <c r="D71" s="12"/>
      <c r="E71" s="11"/>
      <c r="F71" s="11"/>
      <c r="G71" s="11"/>
      <c r="H71" s="11"/>
      <c r="I71" s="29">
        <v>37165</v>
      </c>
      <c r="J71" s="32">
        <v>31</v>
      </c>
      <c r="K71" s="22" t="s">
        <v>146</v>
      </c>
      <c r="L71" s="22">
        <v>2001</v>
      </c>
      <c r="M71" s="31">
        <v>70</v>
      </c>
      <c r="N71" s="10"/>
      <c r="O71" s="10"/>
      <c r="P71" s="10"/>
    </row>
    <row r="72" spans="1:16" ht="12.75">
      <c r="A72" s="12">
        <v>3</v>
      </c>
      <c r="B72" s="12" t="s">
        <v>240</v>
      </c>
      <c r="C72" s="12"/>
      <c r="D72" s="12"/>
      <c r="E72" s="11"/>
      <c r="F72" s="11"/>
      <c r="G72" s="11"/>
      <c r="H72" s="11"/>
      <c r="I72" s="29">
        <v>37196</v>
      </c>
      <c r="J72" s="32">
        <v>30</v>
      </c>
      <c r="K72" s="22" t="s">
        <v>147</v>
      </c>
      <c r="L72" s="22">
        <v>2001</v>
      </c>
      <c r="M72" s="31">
        <v>71</v>
      </c>
      <c r="N72" s="10"/>
      <c r="O72" s="10"/>
      <c r="P72" s="10"/>
    </row>
    <row r="73" spans="1:16" ht="12.75">
      <c r="A73" s="12">
        <v>4</v>
      </c>
      <c r="B73" s="12" t="s">
        <v>241</v>
      </c>
      <c r="C73" s="12"/>
      <c r="D73" s="12"/>
      <c r="E73" s="11"/>
      <c r="F73" s="11"/>
      <c r="G73" s="11"/>
      <c r="H73" s="11"/>
      <c r="I73" s="29">
        <v>37226</v>
      </c>
      <c r="J73" s="32">
        <v>31</v>
      </c>
      <c r="K73" s="22" t="s">
        <v>148</v>
      </c>
      <c r="L73" s="22">
        <v>2001</v>
      </c>
      <c r="M73" s="31">
        <v>72</v>
      </c>
      <c r="N73" s="10"/>
      <c r="O73" s="10"/>
      <c r="P73" s="10"/>
    </row>
    <row r="74" spans="1:16" ht="12.75">
      <c r="A74" s="12"/>
      <c r="B74" s="12"/>
      <c r="C74" s="12"/>
      <c r="D74" s="12"/>
      <c r="E74" s="11"/>
      <c r="F74" s="11"/>
      <c r="G74" s="11"/>
      <c r="H74" s="11"/>
      <c r="I74" s="29">
        <v>37257</v>
      </c>
      <c r="J74" s="30">
        <v>31</v>
      </c>
      <c r="K74" s="22" t="s">
        <v>137</v>
      </c>
      <c r="L74" s="22">
        <v>2002</v>
      </c>
      <c r="M74" s="31">
        <v>73</v>
      </c>
      <c r="N74" s="10"/>
      <c r="O74" s="10"/>
      <c r="P74" s="10"/>
    </row>
    <row r="75" spans="1:16" ht="12.75">
      <c r="A75" s="63" t="s">
        <v>242</v>
      </c>
      <c r="B75" s="56">
        <f>IF(B68&lt;=B66,IF(E68&lt;=E66,1,3),IF(E68&lt;=E66,2,4))</f>
        <v>1</v>
      </c>
      <c r="C75" s="12"/>
      <c r="D75" s="12"/>
      <c r="E75" s="11"/>
      <c r="F75" s="11"/>
      <c r="G75" s="11"/>
      <c r="H75" s="11"/>
      <c r="I75" s="29">
        <v>37288</v>
      </c>
      <c r="J75" s="30">
        <v>28</v>
      </c>
      <c r="K75" s="22" t="s">
        <v>138</v>
      </c>
      <c r="L75" s="22">
        <v>2002</v>
      </c>
      <c r="M75" s="31">
        <v>74</v>
      </c>
      <c r="N75" s="10"/>
      <c r="O75" s="10"/>
      <c r="P75" s="10"/>
    </row>
    <row r="76" spans="1:16" ht="12.75">
      <c r="A76" s="11"/>
      <c r="B76" s="11"/>
      <c r="C76" s="11"/>
      <c r="D76" s="11"/>
      <c r="E76" s="11"/>
      <c r="F76" s="11"/>
      <c r="G76" s="11"/>
      <c r="H76" s="11"/>
      <c r="I76" s="29">
        <v>37316</v>
      </c>
      <c r="J76" s="32">
        <v>31</v>
      </c>
      <c r="K76" s="22" t="s">
        <v>139</v>
      </c>
      <c r="L76" s="22">
        <v>2002</v>
      </c>
      <c r="M76" s="31">
        <v>75</v>
      </c>
      <c r="N76" s="10"/>
      <c r="O76" s="10"/>
      <c r="P76" s="10"/>
    </row>
    <row r="77" spans="1:16" ht="12.75">
      <c r="A77" s="11" t="s">
        <v>253</v>
      </c>
      <c r="B77" s="54"/>
      <c r="C77" s="11"/>
      <c r="D77" s="11"/>
      <c r="E77" s="11"/>
      <c r="F77" s="11"/>
      <c r="G77" s="11"/>
      <c r="H77" s="11"/>
      <c r="I77" s="29">
        <v>37347</v>
      </c>
      <c r="J77" s="32">
        <v>30</v>
      </c>
      <c r="K77" s="22" t="s">
        <v>140</v>
      </c>
      <c r="L77" s="22">
        <v>2002</v>
      </c>
      <c r="M77" s="31">
        <v>76</v>
      </c>
      <c r="N77" s="10"/>
      <c r="O77" s="10"/>
      <c r="P77" s="10"/>
    </row>
    <row r="78" spans="1:16" ht="12.75">
      <c r="A78" s="55" t="s">
        <v>254</v>
      </c>
      <c r="B78" s="54">
        <f>CERTIFICACIONES!C55</f>
        <v>0</v>
      </c>
      <c r="C78" s="10"/>
      <c r="D78" s="55" t="s">
        <v>255</v>
      </c>
      <c r="E78" s="713">
        <f>CERTIFICACIONES!F55</f>
        <v>0</v>
      </c>
      <c r="F78" s="714"/>
      <c r="G78" s="11"/>
      <c r="H78" s="11"/>
      <c r="I78" s="29">
        <v>37377</v>
      </c>
      <c r="J78" s="32">
        <v>31</v>
      </c>
      <c r="K78" s="22" t="s">
        <v>141</v>
      </c>
      <c r="L78" s="22">
        <v>2002</v>
      </c>
      <c r="M78" s="31">
        <v>77</v>
      </c>
      <c r="N78" s="10"/>
      <c r="O78" s="10"/>
      <c r="P78" s="10"/>
    </row>
    <row r="79" spans="1:16" ht="12.75">
      <c r="A79" s="55" t="s">
        <v>264</v>
      </c>
      <c r="B79" s="54">
        <v>0</v>
      </c>
      <c r="C79" s="11"/>
      <c r="D79" s="55" t="s">
        <v>265</v>
      </c>
      <c r="E79" s="713">
        <v>0</v>
      </c>
      <c r="F79" s="714"/>
      <c r="G79" s="11"/>
      <c r="H79" s="11"/>
      <c r="I79" s="29">
        <v>37408</v>
      </c>
      <c r="J79" s="32">
        <v>30</v>
      </c>
      <c r="K79" s="22" t="s">
        <v>142</v>
      </c>
      <c r="L79" s="22">
        <v>2002</v>
      </c>
      <c r="M79" s="31">
        <v>78</v>
      </c>
      <c r="N79" s="10"/>
      <c r="O79" s="10"/>
      <c r="P79" s="10"/>
    </row>
    <row r="80" spans="1:16" ht="12.75">
      <c r="A80" s="67" t="s">
        <v>256</v>
      </c>
      <c r="B80" s="58"/>
      <c r="C80" s="10"/>
      <c r="D80" s="10"/>
      <c r="E80" s="713"/>
      <c r="F80" s="714"/>
      <c r="G80" s="11"/>
      <c r="H80" s="11"/>
      <c r="I80" s="29">
        <v>37438</v>
      </c>
      <c r="J80" s="32">
        <v>31</v>
      </c>
      <c r="K80" s="22" t="s">
        <v>143</v>
      </c>
      <c r="L80" s="22">
        <v>2002</v>
      </c>
      <c r="M80" s="31">
        <v>79</v>
      </c>
      <c r="N80" s="10"/>
      <c r="O80" s="10"/>
      <c r="P80" s="10"/>
    </row>
    <row r="81" spans="1:16" ht="12.75">
      <c r="A81" s="57" t="s">
        <v>257</v>
      </c>
      <c r="B81" s="58">
        <f>B66</f>
        <v>0</v>
      </c>
      <c r="C81" s="10"/>
      <c r="D81" s="57" t="s">
        <v>261</v>
      </c>
      <c r="E81" s="713">
        <f>E68</f>
        <v>0</v>
      </c>
      <c r="F81" s="714"/>
      <c r="G81" s="11"/>
      <c r="H81" s="11"/>
      <c r="I81" s="29">
        <v>37469</v>
      </c>
      <c r="J81" s="32">
        <v>31</v>
      </c>
      <c r="K81" s="22" t="s">
        <v>144</v>
      </c>
      <c r="L81" s="22">
        <v>2002</v>
      </c>
      <c r="M81" s="31">
        <v>80</v>
      </c>
      <c r="N81" s="10"/>
      <c r="O81" s="10"/>
      <c r="P81" s="10"/>
    </row>
    <row r="82" spans="1:16" ht="12.75">
      <c r="A82" s="57" t="s">
        <v>258</v>
      </c>
      <c r="B82" s="58">
        <f>B68-B66</f>
        <v>0</v>
      </c>
      <c r="C82" s="10"/>
      <c r="D82" s="57" t="s">
        <v>262</v>
      </c>
      <c r="E82" s="713">
        <f>E66-E68</f>
        <v>0</v>
      </c>
      <c r="F82" s="714"/>
      <c r="G82" s="11"/>
      <c r="H82" s="11"/>
      <c r="I82" s="29">
        <v>37500</v>
      </c>
      <c r="J82" s="32">
        <v>30</v>
      </c>
      <c r="K82" s="22" t="s">
        <v>145</v>
      </c>
      <c r="L82" s="22">
        <v>2002</v>
      </c>
      <c r="M82" s="31">
        <v>81</v>
      </c>
      <c r="N82" s="10"/>
      <c r="O82" s="10"/>
      <c r="P82" s="10"/>
    </row>
    <row r="83" spans="1:16" ht="12.75">
      <c r="A83" s="57" t="s">
        <v>263</v>
      </c>
      <c r="B83" s="58">
        <f>IF(B82&lt;=E82,B82,E82)</f>
        <v>0</v>
      </c>
      <c r="C83" s="10"/>
      <c r="D83" s="10"/>
      <c r="E83" s="713"/>
      <c r="F83" s="714"/>
      <c r="G83" s="11"/>
      <c r="H83" s="11"/>
      <c r="I83" s="29">
        <v>37530</v>
      </c>
      <c r="J83" s="32">
        <v>31</v>
      </c>
      <c r="K83" s="22" t="s">
        <v>146</v>
      </c>
      <c r="L83" s="22">
        <v>2002</v>
      </c>
      <c r="M83" s="31">
        <v>82</v>
      </c>
      <c r="N83" s="10"/>
      <c r="O83" s="10"/>
      <c r="P83" s="10"/>
    </row>
    <row r="84" spans="1:16" ht="12.75">
      <c r="A84" s="57" t="s">
        <v>254</v>
      </c>
      <c r="B84" s="58">
        <f>IF(B82&lt;=E82,B81+B83,B81+E82)</f>
        <v>0</v>
      </c>
      <c r="C84" s="10"/>
      <c r="D84" s="57" t="s">
        <v>255</v>
      </c>
      <c r="E84" s="713">
        <f>E81</f>
        <v>0</v>
      </c>
      <c r="F84" s="714"/>
      <c r="G84" s="11"/>
      <c r="H84" s="11"/>
      <c r="I84" s="29">
        <v>37561</v>
      </c>
      <c r="J84" s="32">
        <v>30</v>
      </c>
      <c r="K84" s="22" t="s">
        <v>147</v>
      </c>
      <c r="L84" s="22">
        <v>2002</v>
      </c>
      <c r="M84" s="31">
        <v>83</v>
      </c>
      <c r="N84" s="10"/>
      <c r="O84" s="10"/>
      <c r="P84" s="10"/>
    </row>
    <row r="85" spans="1:16" ht="12.75">
      <c r="A85" s="57" t="s">
        <v>264</v>
      </c>
      <c r="B85" s="58">
        <f>IF(B82&lt;=E82,0,B68-B84)</f>
        <v>0</v>
      </c>
      <c r="C85" s="10"/>
      <c r="D85" s="57" t="s">
        <v>265</v>
      </c>
      <c r="E85" s="713">
        <v>0</v>
      </c>
      <c r="F85" s="714"/>
      <c r="G85" s="11"/>
      <c r="H85" s="11"/>
      <c r="I85" s="29">
        <v>37591</v>
      </c>
      <c r="J85" s="32">
        <v>31</v>
      </c>
      <c r="K85" s="22" t="s">
        <v>148</v>
      </c>
      <c r="L85" s="22">
        <v>2002</v>
      </c>
      <c r="M85" s="31">
        <v>84</v>
      </c>
      <c r="N85" s="10"/>
      <c r="O85" s="10"/>
      <c r="P85" s="10"/>
    </row>
    <row r="86" spans="1:16" ht="12.75">
      <c r="A86" s="57"/>
      <c r="B86" s="58"/>
      <c r="C86" s="10"/>
      <c r="D86" s="10"/>
      <c r="E86" s="713"/>
      <c r="F86" s="714"/>
      <c r="G86" s="12"/>
      <c r="H86" s="11"/>
      <c r="I86" s="29">
        <v>37622</v>
      </c>
      <c r="J86" s="30">
        <v>31</v>
      </c>
      <c r="K86" s="22" t="s">
        <v>137</v>
      </c>
      <c r="L86" s="22">
        <v>2003</v>
      </c>
      <c r="M86" s="31">
        <v>85</v>
      </c>
      <c r="N86" s="10"/>
      <c r="O86" s="10"/>
      <c r="P86" s="10"/>
    </row>
    <row r="87" spans="1:16" ht="12.75">
      <c r="A87" s="67" t="s">
        <v>266</v>
      </c>
      <c r="B87" s="58"/>
      <c r="C87" s="10"/>
      <c r="D87" s="10"/>
      <c r="E87" s="713"/>
      <c r="F87" s="714"/>
      <c r="G87" s="12"/>
      <c r="H87" s="11"/>
      <c r="I87" s="29">
        <v>37653</v>
      </c>
      <c r="J87" s="30">
        <v>28</v>
      </c>
      <c r="K87" s="22" t="s">
        <v>138</v>
      </c>
      <c r="L87" s="22">
        <v>2003</v>
      </c>
      <c r="M87" s="31">
        <v>86</v>
      </c>
      <c r="N87" s="10"/>
      <c r="O87" s="10"/>
      <c r="P87" s="10"/>
    </row>
    <row r="88" spans="1:16" ht="12.75">
      <c r="A88" s="57" t="s">
        <v>257</v>
      </c>
      <c r="B88" s="58">
        <f>B68</f>
        <v>0</v>
      </c>
      <c r="C88" s="10"/>
      <c r="D88" s="57" t="s">
        <v>261</v>
      </c>
      <c r="E88" s="713">
        <f>E66</f>
        <v>0</v>
      </c>
      <c r="F88" s="714"/>
      <c r="G88" s="12"/>
      <c r="H88" s="11"/>
      <c r="I88" s="29">
        <v>37681</v>
      </c>
      <c r="J88" s="32">
        <v>31</v>
      </c>
      <c r="K88" s="22" t="s">
        <v>139</v>
      </c>
      <c r="L88" s="22">
        <v>2003</v>
      </c>
      <c r="M88" s="31">
        <v>87</v>
      </c>
      <c r="N88" s="10"/>
      <c r="O88" s="10"/>
      <c r="P88" s="10"/>
    </row>
    <row r="89" spans="1:16" ht="12.75">
      <c r="A89" s="57" t="s">
        <v>267</v>
      </c>
      <c r="B89" s="58">
        <f>B66-B68</f>
        <v>0</v>
      </c>
      <c r="C89" s="10"/>
      <c r="D89" s="57" t="s">
        <v>268</v>
      </c>
      <c r="E89" s="713">
        <f>E68-E66</f>
        <v>0</v>
      </c>
      <c r="F89" s="714"/>
      <c r="G89" s="12"/>
      <c r="H89" s="11"/>
      <c r="I89" s="29">
        <v>37712</v>
      </c>
      <c r="J89" s="32">
        <v>30</v>
      </c>
      <c r="K89" s="22" t="s">
        <v>140</v>
      </c>
      <c r="L89" s="22">
        <v>2003</v>
      </c>
      <c r="M89" s="31">
        <v>88</v>
      </c>
      <c r="N89" s="10"/>
      <c r="O89" s="10"/>
      <c r="P89" s="10"/>
    </row>
    <row r="90" spans="1:16" ht="12.75">
      <c r="A90" s="57"/>
      <c r="B90" s="58"/>
      <c r="C90" s="10"/>
      <c r="D90" s="57" t="s">
        <v>269</v>
      </c>
      <c r="E90" s="713">
        <f>IF(E89&lt;=B89,E89,B89)</f>
        <v>0</v>
      </c>
      <c r="F90" s="714"/>
      <c r="G90" s="11"/>
      <c r="H90" s="11"/>
      <c r="I90" s="29">
        <v>37742</v>
      </c>
      <c r="J90" s="32">
        <v>31</v>
      </c>
      <c r="K90" s="22" t="s">
        <v>141</v>
      </c>
      <c r="L90" s="22">
        <v>2003</v>
      </c>
      <c r="M90" s="31">
        <v>89</v>
      </c>
      <c r="N90" s="10"/>
      <c r="O90" s="10"/>
      <c r="P90" s="10"/>
    </row>
    <row r="91" spans="1:16" ht="12.75">
      <c r="A91" s="57" t="s">
        <v>254</v>
      </c>
      <c r="B91" s="58">
        <f>B88</f>
        <v>0</v>
      </c>
      <c r="C91" s="10"/>
      <c r="D91" s="57" t="s">
        <v>255</v>
      </c>
      <c r="E91" s="713">
        <f>IF(E89&lt;=B89,E88+E90,E88+B89)</f>
        <v>0</v>
      </c>
      <c r="F91" s="714"/>
      <c r="G91" s="11"/>
      <c r="H91" s="11"/>
      <c r="I91" s="29">
        <v>37773</v>
      </c>
      <c r="J91" s="32">
        <v>30</v>
      </c>
      <c r="K91" s="22" t="s">
        <v>142</v>
      </c>
      <c r="L91" s="22">
        <v>2003</v>
      </c>
      <c r="M91" s="31">
        <v>90</v>
      </c>
      <c r="N91" s="10"/>
      <c r="O91" s="10"/>
      <c r="P91" s="10"/>
    </row>
    <row r="92" spans="1:16" ht="12.75">
      <c r="A92" s="57" t="s">
        <v>264</v>
      </c>
      <c r="B92" s="58">
        <f>0</f>
        <v>0</v>
      </c>
      <c r="C92" s="10"/>
      <c r="D92" s="57" t="s">
        <v>265</v>
      </c>
      <c r="E92" s="713">
        <f>IF(E89&lt;=B89,0,E68-E91)</f>
        <v>0</v>
      </c>
      <c r="F92" s="714"/>
      <c r="G92" s="11"/>
      <c r="H92" s="11"/>
      <c r="I92" s="29">
        <v>37803</v>
      </c>
      <c r="J92" s="32">
        <v>31</v>
      </c>
      <c r="K92" s="22" t="s">
        <v>143</v>
      </c>
      <c r="L92" s="22">
        <v>2003</v>
      </c>
      <c r="M92" s="31">
        <v>91</v>
      </c>
      <c r="N92" s="10"/>
      <c r="O92" s="10"/>
      <c r="P92" s="10"/>
    </row>
    <row r="93" spans="1:16" ht="12.75">
      <c r="A93" s="57"/>
      <c r="B93" s="58"/>
      <c r="C93" s="10"/>
      <c r="D93" s="10"/>
      <c r="E93" s="713"/>
      <c r="F93" s="714"/>
      <c r="G93" s="11"/>
      <c r="H93" s="11"/>
      <c r="I93" s="29">
        <v>37834</v>
      </c>
      <c r="J93" s="32">
        <v>31</v>
      </c>
      <c r="K93" s="22" t="s">
        <v>144</v>
      </c>
      <c r="L93" s="22">
        <v>2003</v>
      </c>
      <c r="M93" s="31">
        <v>92</v>
      </c>
      <c r="N93" s="10"/>
      <c r="O93" s="10"/>
      <c r="P93" s="10"/>
    </row>
    <row r="94" spans="1:16" ht="12.75">
      <c r="A94" s="67" t="s">
        <v>270</v>
      </c>
      <c r="B94" s="58"/>
      <c r="C94" s="10"/>
      <c r="D94" s="10"/>
      <c r="E94" s="713"/>
      <c r="F94" s="714"/>
      <c r="G94" s="11"/>
      <c r="H94" s="11"/>
      <c r="I94" s="29">
        <v>37865</v>
      </c>
      <c r="J94" s="32">
        <v>30</v>
      </c>
      <c r="K94" s="22" t="s">
        <v>145</v>
      </c>
      <c r="L94" s="22">
        <v>2003</v>
      </c>
      <c r="M94" s="31">
        <v>93</v>
      </c>
      <c r="N94" s="10"/>
      <c r="O94" s="10"/>
      <c r="P94" s="10"/>
    </row>
    <row r="95" spans="1:16" ht="12.75">
      <c r="A95" s="57" t="s">
        <v>254</v>
      </c>
      <c r="B95" s="58">
        <f>B66</f>
        <v>0</v>
      </c>
      <c r="C95" s="10"/>
      <c r="D95" s="57" t="s">
        <v>255</v>
      </c>
      <c r="E95" s="713">
        <f>E66</f>
        <v>0</v>
      </c>
      <c r="F95" s="714"/>
      <c r="G95" s="11"/>
      <c r="H95" s="11"/>
      <c r="I95" s="29">
        <v>37895</v>
      </c>
      <c r="J95" s="32">
        <v>31</v>
      </c>
      <c r="K95" s="22" t="s">
        <v>146</v>
      </c>
      <c r="L95" s="22">
        <v>2003</v>
      </c>
      <c r="M95" s="31">
        <v>94</v>
      </c>
      <c r="N95" s="10"/>
      <c r="O95" s="10"/>
      <c r="P95" s="10"/>
    </row>
    <row r="96" spans="1:16" ht="12.75">
      <c r="A96" s="57" t="s">
        <v>264</v>
      </c>
      <c r="B96" s="58">
        <f>B68-B95</f>
        <v>0</v>
      </c>
      <c r="C96" s="10"/>
      <c r="D96" s="57" t="s">
        <v>265</v>
      </c>
      <c r="E96" s="713">
        <f>E68-E66</f>
        <v>0</v>
      </c>
      <c r="F96" s="714"/>
      <c r="G96" s="11"/>
      <c r="H96" s="11"/>
      <c r="I96" s="29">
        <v>37926</v>
      </c>
      <c r="J96" s="32">
        <v>30</v>
      </c>
      <c r="K96" s="22" t="s">
        <v>147</v>
      </c>
      <c r="L96" s="22">
        <v>2003</v>
      </c>
      <c r="M96" s="31">
        <v>95</v>
      </c>
      <c r="N96" s="10"/>
      <c r="O96" s="10"/>
      <c r="P96" s="10"/>
    </row>
    <row r="97" spans="1:16" ht="12.75">
      <c r="A97" s="57"/>
      <c r="B97" s="58"/>
      <c r="C97" s="10"/>
      <c r="D97" s="57"/>
      <c r="E97" s="713"/>
      <c r="F97" s="714"/>
      <c r="G97" s="11"/>
      <c r="H97" s="11"/>
      <c r="I97" s="29">
        <v>37956</v>
      </c>
      <c r="J97" s="32">
        <v>31</v>
      </c>
      <c r="K97" s="22" t="s">
        <v>148</v>
      </c>
      <c r="L97" s="22">
        <v>2003</v>
      </c>
      <c r="M97" s="31">
        <v>96</v>
      </c>
      <c r="N97" s="10"/>
      <c r="O97" s="10"/>
      <c r="P97" s="10"/>
    </row>
    <row r="98" spans="1:16" ht="12.75">
      <c r="A98" s="57"/>
      <c r="B98" s="58"/>
      <c r="C98" s="10"/>
      <c r="D98" s="57"/>
      <c r="E98" s="713"/>
      <c r="F98" s="714"/>
      <c r="G98" s="11"/>
      <c r="H98" s="11"/>
      <c r="I98" s="29">
        <v>37987</v>
      </c>
      <c r="J98" s="30">
        <v>31</v>
      </c>
      <c r="K98" s="22" t="s">
        <v>137</v>
      </c>
      <c r="L98" s="22">
        <v>2004</v>
      </c>
      <c r="M98" s="31">
        <v>97</v>
      </c>
      <c r="N98" s="10"/>
      <c r="O98" s="10"/>
      <c r="P98" s="10"/>
    </row>
    <row r="99" spans="1:16" ht="12.75">
      <c r="A99" s="723" t="s">
        <v>271</v>
      </c>
      <c r="B99" s="723"/>
      <c r="C99" s="723"/>
      <c r="D99" s="723"/>
      <c r="E99" s="723"/>
      <c r="F99" s="723"/>
      <c r="G99" s="60"/>
      <c r="H99" s="11"/>
      <c r="I99" s="29">
        <v>38018</v>
      </c>
      <c r="J99" s="30">
        <v>29</v>
      </c>
      <c r="K99" s="22" t="s">
        <v>138</v>
      </c>
      <c r="L99" s="22">
        <v>2004</v>
      </c>
      <c r="M99" s="31">
        <v>98</v>
      </c>
      <c r="N99" s="10"/>
      <c r="O99" s="10"/>
      <c r="P99" s="10"/>
    </row>
    <row r="100" spans="1:16" ht="12.75">
      <c r="A100" s="68" t="s">
        <v>272</v>
      </c>
      <c r="B100" s="722">
        <f>IF($B$75=1,B78,IF($B$75=2,B84,IF($B$75=3,B91,B95)))</f>
        <v>0</v>
      </c>
      <c r="C100" s="722"/>
      <c r="D100" s="68" t="s">
        <v>274</v>
      </c>
      <c r="E100" s="722">
        <f>IF($B$75=1,E78,IF($B$75=2,E84,IF($B$75=3,E91,E95)))</f>
        <v>0</v>
      </c>
      <c r="F100" s="722"/>
      <c r="G100" s="11"/>
      <c r="H100" s="11"/>
      <c r="I100" s="29">
        <v>38047</v>
      </c>
      <c r="J100" s="32">
        <v>31</v>
      </c>
      <c r="K100" s="22" t="s">
        <v>139</v>
      </c>
      <c r="L100" s="22">
        <v>2004</v>
      </c>
      <c r="M100" s="31">
        <v>99</v>
      </c>
      <c r="N100" s="10"/>
      <c r="O100" s="10"/>
      <c r="P100" s="10"/>
    </row>
    <row r="101" spans="1:16" ht="12.75">
      <c r="A101" s="68" t="s">
        <v>273</v>
      </c>
      <c r="B101" s="721">
        <f>IF($B$75=1,B79,IF($B$75=2,B85,IF($B$75=3,B92,B96)))</f>
        <v>0</v>
      </c>
      <c r="C101" s="721"/>
      <c r="D101" s="68" t="s">
        <v>275</v>
      </c>
      <c r="E101" s="721">
        <f>IF($B$75=1,E79,IF($B$75=2,E85,IF($B$75=3,E92,E96)))</f>
        <v>0</v>
      </c>
      <c r="F101" s="721"/>
      <c r="G101" s="11"/>
      <c r="H101" s="11"/>
      <c r="I101" s="29">
        <v>38078</v>
      </c>
      <c r="J101" s="32">
        <v>30</v>
      </c>
      <c r="K101" s="22" t="s">
        <v>140</v>
      </c>
      <c r="L101" s="22">
        <v>2004</v>
      </c>
      <c r="M101" s="31">
        <v>100</v>
      </c>
      <c r="N101" s="10"/>
      <c r="O101" s="10"/>
      <c r="P101" s="10"/>
    </row>
    <row r="102" spans="1:16" ht="13.5" thickBot="1">
      <c r="A102" s="69"/>
      <c r="B102" s="69"/>
      <c r="C102" s="69"/>
      <c r="D102" s="70"/>
      <c r="E102" s="69"/>
      <c r="F102" s="69"/>
      <c r="G102" s="69"/>
      <c r="H102" s="11"/>
      <c r="I102" s="29">
        <v>38108</v>
      </c>
      <c r="J102" s="32">
        <v>31</v>
      </c>
      <c r="K102" s="22" t="s">
        <v>141</v>
      </c>
      <c r="L102" s="22">
        <v>2004</v>
      </c>
      <c r="M102" s="31">
        <v>101</v>
      </c>
      <c r="N102" s="10"/>
      <c r="O102" s="10"/>
      <c r="P102" s="10"/>
    </row>
    <row r="103" spans="1:16" ht="12.75">
      <c r="A103" s="11"/>
      <c r="B103" s="11"/>
      <c r="C103" s="11"/>
      <c r="D103" s="11"/>
      <c r="E103" s="11"/>
      <c r="F103" s="11"/>
      <c r="G103" s="11"/>
      <c r="H103" s="11"/>
      <c r="I103" s="29">
        <v>38139</v>
      </c>
      <c r="J103" s="32">
        <v>30</v>
      </c>
      <c r="K103" s="22" t="s">
        <v>142</v>
      </c>
      <c r="L103" s="22">
        <v>2004</v>
      </c>
      <c r="M103" s="31">
        <v>102</v>
      </c>
      <c r="N103" s="10"/>
      <c r="O103" s="10"/>
      <c r="P103" s="10"/>
    </row>
    <row r="104" spans="1:16" ht="12.75">
      <c r="A104" s="11"/>
      <c r="B104" s="11"/>
      <c r="C104" s="11"/>
      <c r="D104" s="11"/>
      <c r="E104" s="11"/>
      <c r="F104" s="11"/>
      <c r="G104" s="11"/>
      <c r="H104" s="11"/>
      <c r="I104" s="29">
        <v>38169</v>
      </c>
      <c r="J104" s="32">
        <v>31</v>
      </c>
      <c r="K104" s="22" t="s">
        <v>143</v>
      </c>
      <c r="L104" s="22">
        <v>2004</v>
      </c>
      <c r="M104" s="31">
        <v>103</v>
      </c>
      <c r="N104" s="10"/>
      <c r="O104" s="10"/>
      <c r="P104" s="10"/>
    </row>
    <row r="105" spans="1:16" ht="12.75">
      <c r="A105" s="11"/>
      <c r="B105" s="11"/>
      <c r="C105" s="11"/>
      <c r="D105" s="11"/>
      <c r="E105" s="11"/>
      <c r="F105" s="11"/>
      <c r="G105" s="11"/>
      <c r="H105" s="11"/>
      <c r="I105" s="29">
        <v>38200</v>
      </c>
      <c r="J105" s="32">
        <v>31</v>
      </c>
      <c r="K105" s="22" t="s">
        <v>144</v>
      </c>
      <c r="L105" s="22">
        <v>2004</v>
      </c>
      <c r="M105" s="31">
        <v>104</v>
      </c>
      <c r="N105" s="10"/>
      <c r="O105" s="10"/>
      <c r="P105" s="10"/>
    </row>
    <row r="106" spans="1:16" ht="12.75">
      <c r="A106" s="11"/>
      <c r="B106" s="11"/>
      <c r="C106" s="11"/>
      <c r="D106" s="11"/>
      <c r="E106" s="11"/>
      <c r="F106" s="11"/>
      <c r="G106" s="11"/>
      <c r="H106" s="11"/>
      <c r="I106" s="29">
        <v>38231</v>
      </c>
      <c r="J106" s="32">
        <v>30</v>
      </c>
      <c r="K106" s="22" t="s">
        <v>145</v>
      </c>
      <c r="L106" s="22">
        <v>2004</v>
      </c>
      <c r="M106" s="31">
        <v>105</v>
      </c>
      <c r="N106" s="10"/>
      <c r="O106" s="10"/>
      <c r="P106" s="10"/>
    </row>
    <row r="107" spans="1:16" ht="12.75">
      <c r="A107" s="11"/>
      <c r="B107" s="11"/>
      <c r="C107" s="11"/>
      <c r="D107" s="11"/>
      <c r="E107" s="11"/>
      <c r="F107" s="11"/>
      <c r="G107" s="11"/>
      <c r="H107" s="11"/>
      <c r="I107" s="29">
        <v>38261</v>
      </c>
      <c r="J107" s="32">
        <v>31</v>
      </c>
      <c r="K107" s="22" t="s">
        <v>146</v>
      </c>
      <c r="L107" s="22">
        <v>2004</v>
      </c>
      <c r="M107" s="31">
        <v>106</v>
      </c>
      <c r="N107" s="10"/>
      <c r="O107" s="10"/>
      <c r="P107" s="10"/>
    </row>
    <row r="108" spans="1:16" ht="12.75">
      <c r="A108" s="11"/>
      <c r="B108" s="11"/>
      <c r="C108" s="11"/>
      <c r="D108" s="11"/>
      <c r="E108" s="11"/>
      <c r="F108" s="11"/>
      <c r="G108" s="11"/>
      <c r="H108" s="11"/>
      <c r="I108" s="29">
        <v>38292</v>
      </c>
      <c r="J108" s="32">
        <v>30</v>
      </c>
      <c r="K108" s="22" t="s">
        <v>147</v>
      </c>
      <c r="L108" s="22">
        <v>2004</v>
      </c>
      <c r="M108" s="31">
        <v>107</v>
      </c>
      <c r="N108" s="10"/>
      <c r="O108" s="10"/>
      <c r="P108" s="10"/>
    </row>
    <row r="109" spans="1:16" ht="12.75">
      <c r="A109" s="11"/>
      <c r="B109" s="11"/>
      <c r="C109" s="11"/>
      <c r="D109" s="11"/>
      <c r="E109" s="11"/>
      <c r="F109" s="11"/>
      <c r="G109" s="11"/>
      <c r="H109" s="11"/>
      <c r="I109" s="29">
        <v>38322</v>
      </c>
      <c r="J109" s="32">
        <v>31</v>
      </c>
      <c r="K109" s="22" t="s">
        <v>148</v>
      </c>
      <c r="L109" s="22">
        <v>2004</v>
      </c>
      <c r="M109" s="31">
        <v>108</v>
      </c>
      <c r="N109" s="10"/>
      <c r="O109" s="10"/>
      <c r="P109" s="10"/>
    </row>
    <row r="110" spans="1:16" ht="12.75">
      <c r="A110" s="11"/>
      <c r="B110" s="11"/>
      <c r="C110" s="11"/>
      <c r="D110" s="11"/>
      <c r="E110" s="11"/>
      <c r="F110" s="11"/>
      <c r="G110" s="11"/>
      <c r="H110" s="11"/>
      <c r="I110" s="29">
        <v>38353</v>
      </c>
      <c r="J110" s="30">
        <v>31</v>
      </c>
      <c r="K110" s="22" t="s">
        <v>137</v>
      </c>
      <c r="L110" s="22">
        <v>2005</v>
      </c>
      <c r="M110" s="31">
        <v>109</v>
      </c>
      <c r="N110" s="10"/>
      <c r="O110" s="10"/>
      <c r="P110" s="10"/>
    </row>
    <row r="111" spans="1:16" ht="12.75">
      <c r="A111" s="11"/>
      <c r="B111" s="11"/>
      <c r="C111" s="11"/>
      <c r="D111" s="11"/>
      <c r="E111" s="11"/>
      <c r="F111" s="11"/>
      <c r="G111" s="11"/>
      <c r="H111" s="11"/>
      <c r="I111" s="29">
        <v>38384</v>
      </c>
      <c r="J111" s="30">
        <v>28</v>
      </c>
      <c r="K111" s="22" t="s">
        <v>138</v>
      </c>
      <c r="L111" s="22">
        <v>2005</v>
      </c>
      <c r="M111" s="31">
        <v>110</v>
      </c>
      <c r="N111" s="10"/>
      <c r="O111" s="10"/>
      <c r="P111" s="10"/>
    </row>
    <row r="112" spans="1:16" ht="12.75">
      <c r="A112" s="11"/>
      <c r="B112" s="11"/>
      <c r="C112" s="11"/>
      <c r="D112" s="11"/>
      <c r="E112" s="11"/>
      <c r="F112" s="11"/>
      <c r="G112" s="11"/>
      <c r="H112" s="11"/>
      <c r="I112" s="29">
        <v>38412</v>
      </c>
      <c r="J112" s="32">
        <v>31</v>
      </c>
      <c r="K112" s="22" t="s">
        <v>139</v>
      </c>
      <c r="L112" s="22">
        <v>2005</v>
      </c>
      <c r="M112" s="31">
        <v>111</v>
      </c>
      <c r="N112" s="10"/>
      <c r="O112" s="10"/>
      <c r="P112" s="10"/>
    </row>
    <row r="113" spans="1:16" ht="12.75">
      <c r="A113" s="11"/>
      <c r="B113" s="11"/>
      <c r="C113" s="11"/>
      <c r="D113" s="11"/>
      <c r="E113" s="11"/>
      <c r="F113" s="11"/>
      <c r="G113" s="11"/>
      <c r="H113" s="11"/>
      <c r="I113" s="29">
        <v>38443</v>
      </c>
      <c r="J113" s="32">
        <v>30</v>
      </c>
      <c r="K113" s="22" t="s">
        <v>140</v>
      </c>
      <c r="L113" s="22">
        <v>2005</v>
      </c>
      <c r="M113" s="31">
        <v>112</v>
      </c>
      <c r="N113" s="10"/>
      <c r="O113" s="10"/>
      <c r="P113" s="10"/>
    </row>
    <row r="114" spans="1:16" ht="12.75">
      <c r="A114" s="11"/>
      <c r="B114" s="11"/>
      <c r="C114" s="11"/>
      <c r="D114" s="11"/>
      <c r="E114" s="11"/>
      <c r="F114" s="11"/>
      <c r="G114" s="11"/>
      <c r="H114" s="11"/>
      <c r="I114" s="29">
        <v>38473</v>
      </c>
      <c r="J114" s="32">
        <v>31</v>
      </c>
      <c r="K114" s="22" t="s">
        <v>141</v>
      </c>
      <c r="L114" s="22">
        <v>2005</v>
      </c>
      <c r="M114" s="31">
        <v>113</v>
      </c>
      <c r="N114" s="10"/>
      <c r="O114" s="10"/>
      <c r="P114" s="10"/>
    </row>
    <row r="115" spans="1:16" ht="12.75">
      <c r="A115" s="11"/>
      <c r="B115" s="11"/>
      <c r="C115" s="11"/>
      <c r="D115" s="11"/>
      <c r="E115" s="11"/>
      <c r="F115" s="11"/>
      <c r="G115" s="11"/>
      <c r="H115" s="11"/>
      <c r="I115" s="29">
        <v>38504</v>
      </c>
      <c r="J115" s="32">
        <v>30</v>
      </c>
      <c r="K115" s="22" t="s">
        <v>142</v>
      </c>
      <c r="L115" s="22">
        <v>2005</v>
      </c>
      <c r="M115" s="31">
        <v>114</v>
      </c>
      <c r="N115" s="10"/>
      <c r="O115" s="10"/>
      <c r="P115" s="10"/>
    </row>
    <row r="116" spans="1:16" ht="12.75">
      <c r="A116" s="11"/>
      <c r="B116" s="11"/>
      <c r="C116" s="11"/>
      <c r="D116" s="11"/>
      <c r="E116" s="11"/>
      <c r="F116" s="11"/>
      <c r="G116" s="11"/>
      <c r="H116" s="11"/>
      <c r="I116" s="29">
        <v>38534</v>
      </c>
      <c r="J116" s="32">
        <v>31</v>
      </c>
      <c r="K116" s="22" t="s">
        <v>143</v>
      </c>
      <c r="L116" s="22">
        <v>2005</v>
      </c>
      <c r="M116" s="31">
        <v>115</v>
      </c>
      <c r="N116" s="10"/>
      <c r="O116" s="10"/>
      <c r="P116" s="10"/>
    </row>
    <row r="117" spans="1:16" ht="12.75">
      <c r="A117" s="11"/>
      <c r="B117" s="11"/>
      <c r="C117" s="11"/>
      <c r="D117" s="11"/>
      <c r="E117" s="11"/>
      <c r="F117" s="11"/>
      <c r="G117" s="11"/>
      <c r="H117" s="11"/>
      <c r="I117" s="29">
        <v>38565</v>
      </c>
      <c r="J117" s="32">
        <v>31</v>
      </c>
      <c r="K117" s="22" t="s">
        <v>144</v>
      </c>
      <c r="L117" s="22">
        <v>2005</v>
      </c>
      <c r="M117" s="31">
        <v>116</v>
      </c>
      <c r="N117" s="10"/>
      <c r="O117" s="10"/>
      <c r="P117" s="10"/>
    </row>
    <row r="118" spans="1:16" ht="12.75">
      <c r="A118" s="11"/>
      <c r="B118" s="11"/>
      <c r="C118" s="11"/>
      <c r="D118" s="11"/>
      <c r="E118" s="11"/>
      <c r="F118" s="11"/>
      <c r="G118" s="11"/>
      <c r="H118" s="11"/>
      <c r="I118" s="29">
        <v>38596</v>
      </c>
      <c r="J118" s="32">
        <v>30</v>
      </c>
      <c r="K118" s="22" t="s">
        <v>145</v>
      </c>
      <c r="L118" s="22">
        <v>2005</v>
      </c>
      <c r="M118" s="31">
        <v>117</v>
      </c>
      <c r="N118" s="10"/>
      <c r="O118" s="10"/>
      <c r="P118" s="10"/>
    </row>
    <row r="119" spans="1:16" ht="12.75">
      <c r="A119" s="11"/>
      <c r="B119" s="11"/>
      <c r="C119" s="11"/>
      <c r="D119" s="11"/>
      <c r="E119" s="11"/>
      <c r="F119" s="11"/>
      <c r="G119" s="11"/>
      <c r="H119" s="11"/>
      <c r="I119" s="29">
        <v>38626</v>
      </c>
      <c r="J119" s="32">
        <v>31</v>
      </c>
      <c r="K119" s="22" t="s">
        <v>146</v>
      </c>
      <c r="L119" s="22">
        <v>2005</v>
      </c>
      <c r="M119" s="31">
        <v>118</v>
      </c>
      <c r="N119" s="10"/>
      <c r="O119" s="10"/>
      <c r="P119" s="10"/>
    </row>
    <row r="120" spans="1:16" ht="12.75">
      <c r="A120" s="11"/>
      <c r="B120" s="11"/>
      <c r="C120" s="11"/>
      <c r="D120" s="11"/>
      <c r="E120" s="11"/>
      <c r="F120" s="11"/>
      <c r="G120" s="11"/>
      <c r="H120" s="11"/>
      <c r="I120" s="29">
        <v>38657</v>
      </c>
      <c r="J120" s="32">
        <v>30</v>
      </c>
      <c r="K120" s="22" t="s">
        <v>147</v>
      </c>
      <c r="L120" s="22">
        <v>2005</v>
      </c>
      <c r="M120" s="31">
        <v>119</v>
      </c>
      <c r="N120" s="10"/>
      <c r="O120" s="10"/>
      <c r="P120" s="10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29">
        <v>38687</v>
      </c>
      <c r="J121" s="32">
        <v>31</v>
      </c>
      <c r="K121" s="22" t="s">
        <v>148</v>
      </c>
      <c r="L121" s="22">
        <v>2005</v>
      </c>
      <c r="M121" s="31">
        <v>120</v>
      </c>
      <c r="N121" s="10"/>
      <c r="O121" s="10"/>
      <c r="P121" s="10"/>
    </row>
    <row r="122" spans="1:16" ht="12.75">
      <c r="A122" s="11"/>
      <c r="B122" s="11"/>
      <c r="C122" s="11"/>
      <c r="D122" s="11"/>
      <c r="E122" s="11"/>
      <c r="F122" s="11"/>
      <c r="G122" s="11"/>
      <c r="H122" s="11"/>
      <c r="I122" s="29">
        <v>38718</v>
      </c>
      <c r="J122" s="30">
        <v>31</v>
      </c>
      <c r="K122" s="22" t="s">
        <v>137</v>
      </c>
      <c r="L122" s="22">
        <v>2006</v>
      </c>
      <c r="M122" s="31">
        <v>121</v>
      </c>
      <c r="N122" s="10"/>
      <c r="O122" s="10"/>
      <c r="P122" s="10"/>
    </row>
    <row r="123" spans="1:16" ht="12.75">
      <c r="A123" s="11"/>
      <c r="B123" s="11"/>
      <c r="C123" s="11"/>
      <c r="D123" s="11"/>
      <c r="E123" s="11"/>
      <c r="F123" s="11"/>
      <c r="G123" s="11"/>
      <c r="H123" s="11"/>
      <c r="I123" s="29">
        <v>38749</v>
      </c>
      <c r="J123" s="30">
        <v>28</v>
      </c>
      <c r="K123" s="22" t="s">
        <v>138</v>
      </c>
      <c r="L123" s="22">
        <v>2006</v>
      </c>
      <c r="M123" s="31">
        <v>122</v>
      </c>
      <c r="N123" s="10"/>
      <c r="O123" s="10"/>
      <c r="P123" s="10"/>
    </row>
    <row r="124" spans="1:16" ht="12.75">
      <c r="A124" s="11"/>
      <c r="B124" s="11"/>
      <c r="C124" s="11"/>
      <c r="D124" s="11"/>
      <c r="E124" s="11"/>
      <c r="F124" s="11"/>
      <c r="G124" s="11"/>
      <c r="H124" s="11"/>
      <c r="I124" s="29">
        <v>38777</v>
      </c>
      <c r="J124" s="32">
        <v>31</v>
      </c>
      <c r="K124" s="22" t="s">
        <v>139</v>
      </c>
      <c r="L124" s="22">
        <v>2006</v>
      </c>
      <c r="M124" s="31">
        <v>123</v>
      </c>
      <c r="N124" s="10"/>
      <c r="O124" s="10"/>
      <c r="P124" s="10"/>
    </row>
    <row r="125" spans="1:16" ht="12.75">
      <c r="A125" s="11"/>
      <c r="B125" s="11"/>
      <c r="C125" s="11"/>
      <c r="D125" s="11"/>
      <c r="E125" s="11"/>
      <c r="F125" s="11"/>
      <c r="G125" s="11"/>
      <c r="H125" s="11"/>
      <c r="I125" s="29">
        <v>38808</v>
      </c>
      <c r="J125" s="32">
        <v>30</v>
      </c>
      <c r="K125" s="22" t="s">
        <v>140</v>
      </c>
      <c r="L125" s="22">
        <v>2006</v>
      </c>
      <c r="M125" s="31">
        <v>124</v>
      </c>
      <c r="N125" s="10"/>
      <c r="O125" s="10"/>
      <c r="P125" s="10"/>
    </row>
    <row r="126" spans="1:16" ht="12.75">
      <c r="A126" s="11"/>
      <c r="B126" s="11"/>
      <c r="C126" s="11"/>
      <c r="D126" s="11"/>
      <c r="E126" s="11"/>
      <c r="F126" s="11"/>
      <c r="G126" s="11"/>
      <c r="H126" s="11"/>
      <c r="I126" s="29">
        <v>38838</v>
      </c>
      <c r="J126" s="32">
        <v>31</v>
      </c>
      <c r="K126" s="22" t="s">
        <v>141</v>
      </c>
      <c r="L126" s="22">
        <v>2006</v>
      </c>
      <c r="M126" s="31">
        <v>125</v>
      </c>
      <c r="N126" s="10"/>
      <c r="O126" s="10"/>
      <c r="P126" s="10"/>
    </row>
    <row r="127" spans="1:16" ht="12.75">
      <c r="A127" s="11"/>
      <c r="B127" s="11"/>
      <c r="C127" s="11"/>
      <c r="D127" s="11"/>
      <c r="E127" s="11"/>
      <c r="F127" s="11"/>
      <c r="G127" s="11"/>
      <c r="H127" s="11"/>
      <c r="I127" s="29">
        <v>38869</v>
      </c>
      <c r="J127" s="32">
        <v>30</v>
      </c>
      <c r="K127" s="22" t="s">
        <v>142</v>
      </c>
      <c r="L127" s="22">
        <v>2006</v>
      </c>
      <c r="M127" s="31">
        <v>126</v>
      </c>
      <c r="N127" s="10"/>
      <c r="O127" s="10"/>
      <c r="P127" s="10"/>
    </row>
    <row r="128" spans="1:16" ht="12.75">
      <c r="A128" s="11"/>
      <c r="B128" s="11"/>
      <c r="C128" s="11"/>
      <c r="D128" s="11"/>
      <c r="E128" s="11"/>
      <c r="F128" s="11"/>
      <c r="G128" s="11"/>
      <c r="H128" s="11"/>
      <c r="I128" s="29">
        <v>38899</v>
      </c>
      <c r="J128" s="32">
        <v>31</v>
      </c>
      <c r="K128" s="22" t="s">
        <v>143</v>
      </c>
      <c r="L128" s="22">
        <v>2006</v>
      </c>
      <c r="M128" s="31">
        <v>127</v>
      </c>
      <c r="N128" s="10"/>
      <c r="O128" s="10"/>
      <c r="P128" s="10"/>
    </row>
    <row r="129" spans="1:16" ht="12.75">
      <c r="A129" s="11"/>
      <c r="B129" s="11"/>
      <c r="C129" s="11"/>
      <c r="D129" s="11"/>
      <c r="E129" s="11"/>
      <c r="F129" s="11"/>
      <c r="G129" s="11"/>
      <c r="H129" s="11"/>
      <c r="I129" s="29">
        <v>38930</v>
      </c>
      <c r="J129" s="32">
        <v>31</v>
      </c>
      <c r="K129" s="22" t="s">
        <v>144</v>
      </c>
      <c r="L129" s="22">
        <v>2006</v>
      </c>
      <c r="M129" s="31">
        <v>128</v>
      </c>
      <c r="N129" s="10"/>
      <c r="O129" s="10"/>
      <c r="P129" s="10"/>
    </row>
    <row r="130" spans="1:16" ht="12.75">
      <c r="A130" s="11"/>
      <c r="B130" s="11"/>
      <c r="C130" s="11"/>
      <c r="D130" s="11"/>
      <c r="E130" s="11"/>
      <c r="F130" s="11"/>
      <c r="G130" s="11"/>
      <c r="H130" s="11"/>
      <c r="I130" s="29">
        <v>38961</v>
      </c>
      <c r="J130" s="32">
        <v>30</v>
      </c>
      <c r="K130" s="22" t="s">
        <v>145</v>
      </c>
      <c r="L130" s="22">
        <v>2006</v>
      </c>
      <c r="M130" s="31">
        <v>129</v>
      </c>
      <c r="N130" s="10"/>
      <c r="O130" s="10"/>
      <c r="P130" s="10"/>
    </row>
    <row r="131" spans="1:16" ht="12.75">
      <c r="A131" s="11"/>
      <c r="B131" s="11"/>
      <c r="C131" s="11"/>
      <c r="D131" s="11"/>
      <c r="E131" s="11"/>
      <c r="F131" s="11"/>
      <c r="G131" s="11"/>
      <c r="H131" s="11"/>
      <c r="I131" s="29">
        <v>38991</v>
      </c>
      <c r="J131" s="32">
        <v>31</v>
      </c>
      <c r="K131" s="22" t="s">
        <v>146</v>
      </c>
      <c r="L131" s="22">
        <v>2006</v>
      </c>
      <c r="M131" s="31">
        <v>130</v>
      </c>
      <c r="N131" s="10"/>
      <c r="O131" s="10"/>
      <c r="P131" s="10"/>
    </row>
    <row r="132" spans="1:16" ht="12.75">
      <c r="A132" s="11"/>
      <c r="B132" s="11"/>
      <c r="C132" s="11"/>
      <c r="D132" s="11"/>
      <c r="E132" s="11"/>
      <c r="F132" s="11"/>
      <c r="G132" s="11"/>
      <c r="H132" s="11"/>
      <c r="I132" s="29">
        <v>39022</v>
      </c>
      <c r="J132" s="32">
        <v>30</v>
      </c>
      <c r="K132" s="22" t="s">
        <v>147</v>
      </c>
      <c r="L132" s="22">
        <v>2006</v>
      </c>
      <c r="M132" s="31">
        <v>131</v>
      </c>
      <c r="N132" s="10"/>
      <c r="O132" s="10"/>
      <c r="P132" s="10"/>
    </row>
    <row r="133" spans="1:16" ht="12.75">
      <c r="A133" s="11"/>
      <c r="B133" s="11"/>
      <c r="C133" s="11"/>
      <c r="D133" s="11"/>
      <c r="E133" s="11"/>
      <c r="F133" s="11"/>
      <c r="G133" s="11"/>
      <c r="H133" s="11"/>
      <c r="I133" s="29">
        <v>39052</v>
      </c>
      <c r="J133" s="32">
        <v>31</v>
      </c>
      <c r="K133" s="22" t="s">
        <v>148</v>
      </c>
      <c r="L133" s="22">
        <v>2006</v>
      </c>
      <c r="M133" s="31">
        <v>132</v>
      </c>
      <c r="N133" s="10"/>
      <c r="O133" s="10"/>
      <c r="P133" s="10"/>
    </row>
    <row r="134" spans="1:16" ht="12.75">
      <c r="A134" s="11"/>
      <c r="B134" s="11"/>
      <c r="C134" s="11"/>
      <c r="D134" s="11"/>
      <c r="E134" s="11"/>
      <c r="F134" s="11"/>
      <c r="G134" s="11"/>
      <c r="H134" s="11"/>
      <c r="I134" s="29">
        <v>39083</v>
      </c>
      <c r="J134" s="30">
        <v>31</v>
      </c>
      <c r="K134" s="22" t="s">
        <v>137</v>
      </c>
      <c r="L134" s="22">
        <v>2007</v>
      </c>
      <c r="M134" s="31">
        <v>133</v>
      </c>
      <c r="N134" s="10"/>
      <c r="O134" s="10"/>
      <c r="P134" s="10"/>
    </row>
    <row r="135" spans="1:16" ht="12.75">
      <c r="A135" s="11"/>
      <c r="B135" s="11"/>
      <c r="C135" s="11"/>
      <c r="D135" s="11"/>
      <c r="E135" s="11"/>
      <c r="F135" s="11"/>
      <c r="G135" s="11"/>
      <c r="H135" s="11"/>
      <c r="I135" s="29">
        <v>39114</v>
      </c>
      <c r="J135" s="30">
        <v>28</v>
      </c>
      <c r="K135" s="22" t="s">
        <v>138</v>
      </c>
      <c r="L135" s="22">
        <v>2007</v>
      </c>
      <c r="M135" s="31">
        <v>134</v>
      </c>
      <c r="N135" s="10"/>
      <c r="O135" s="10"/>
      <c r="P135" s="10"/>
    </row>
    <row r="136" spans="1:16" ht="12.75">
      <c r="A136" s="11"/>
      <c r="B136" s="11"/>
      <c r="C136" s="11"/>
      <c r="D136" s="11"/>
      <c r="E136" s="11"/>
      <c r="F136" s="11"/>
      <c r="G136" s="11"/>
      <c r="H136" s="11"/>
      <c r="I136" s="29">
        <v>39142</v>
      </c>
      <c r="J136" s="32">
        <v>31</v>
      </c>
      <c r="K136" s="22" t="s">
        <v>139</v>
      </c>
      <c r="L136" s="22">
        <v>2007</v>
      </c>
      <c r="M136" s="31">
        <v>135</v>
      </c>
      <c r="N136" s="10"/>
      <c r="O136" s="10"/>
      <c r="P136" s="10"/>
    </row>
    <row r="137" spans="1:16" ht="12.75">
      <c r="A137" s="11"/>
      <c r="B137" s="11"/>
      <c r="C137" s="11"/>
      <c r="D137" s="11"/>
      <c r="E137" s="11"/>
      <c r="F137" s="11"/>
      <c r="G137" s="11"/>
      <c r="H137" s="11"/>
      <c r="I137" s="29">
        <v>39173</v>
      </c>
      <c r="J137" s="32">
        <v>30</v>
      </c>
      <c r="K137" s="22" t="s">
        <v>140</v>
      </c>
      <c r="L137" s="22">
        <v>2007</v>
      </c>
      <c r="M137" s="31">
        <v>136</v>
      </c>
      <c r="N137" s="10"/>
      <c r="O137" s="10"/>
      <c r="P137" s="10"/>
    </row>
    <row r="138" spans="1:16" ht="12.75">
      <c r="A138" s="11"/>
      <c r="B138" s="11"/>
      <c r="C138" s="11"/>
      <c r="D138" s="11"/>
      <c r="E138" s="11"/>
      <c r="F138" s="11"/>
      <c r="G138" s="11"/>
      <c r="H138" s="11"/>
      <c r="I138" s="29">
        <v>39203</v>
      </c>
      <c r="J138" s="32">
        <v>31</v>
      </c>
      <c r="K138" s="22" t="s">
        <v>141</v>
      </c>
      <c r="L138" s="22">
        <v>2007</v>
      </c>
      <c r="M138" s="31">
        <v>137</v>
      </c>
      <c r="N138" s="10"/>
      <c r="O138" s="10"/>
      <c r="P138" s="10"/>
    </row>
    <row r="139" spans="1:16" ht="12.75">
      <c r="A139" s="11"/>
      <c r="B139" s="11"/>
      <c r="C139" s="11"/>
      <c r="D139" s="11"/>
      <c r="E139" s="11"/>
      <c r="F139" s="11"/>
      <c r="G139" s="11"/>
      <c r="H139" s="11"/>
      <c r="I139" s="29">
        <v>39234</v>
      </c>
      <c r="J139" s="32">
        <v>30</v>
      </c>
      <c r="K139" s="22" t="s">
        <v>142</v>
      </c>
      <c r="L139" s="22">
        <v>2007</v>
      </c>
      <c r="M139" s="31">
        <v>138</v>
      </c>
      <c r="N139" s="10"/>
      <c r="O139" s="10"/>
      <c r="P139" s="10"/>
    </row>
    <row r="140" spans="1:16" ht="12.75">
      <c r="A140" s="11"/>
      <c r="B140" s="11"/>
      <c r="C140" s="11"/>
      <c r="D140" s="11"/>
      <c r="E140" s="11"/>
      <c r="F140" s="11"/>
      <c r="G140" s="11"/>
      <c r="H140" s="11"/>
      <c r="I140" s="29">
        <v>39264</v>
      </c>
      <c r="J140" s="32">
        <v>31</v>
      </c>
      <c r="K140" s="22" t="s">
        <v>143</v>
      </c>
      <c r="L140" s="22">
        <v>2007</v>
      </c>
      <c r="M140" s="31">
        <v>139</v>
      </c>
      <c r="N140" s="10"/>
      <c r="O140" s="10"/>
      <c r="P140" s="10"/>
    </row>
    <row r="141" spans="1:16" ht="12.75">
      <c r="A141" s="11"/>
      <c r="B141" s="11"/>
      <c r="C141" s="11"/>
      <c r="D141" s="11"/>
      <c r="E141" s="11"/>
      <c r="F141" s="11"/>
      <c r="G141" s="11"/>
      <c r="H141" s="11"/>
      <c r="I141" s="29">
        <v>39295</v>
      </c>
      <c r="J141" s="32">
        <v>31</v>
      </c>
      <c r="K141" s="22" t="s">
        <v>144</v>
      </c>
      <c r="L141" s="22">
        <v>2007</v>
      </c>
      <c r="M141" s="31">
        <v>140</v>
      </c>
      <c r="N141" s="10"/>
      <c r="O141" s="10"/>
      <c r="P141" s="10"/>
    </row>
    <row r="142" spans="1:16" ht="12.75">
      <c r="A142" s="11"/>
      <c r="B142" s="11"/>
      <c r="C142" s="11"/>
      <c r="D142" s="11"/>
      <c r="E142" s="11"/>
      <c r="F142" s="11"/>
      <c r="G142" s="11"/>
      <c r="H142" s="11"/>
      <c r="I142" s="29">
        <v>39326</v>
      </c>
      <c r="J142" s="32">
        <v>30</v>
      </c>
      <c r="K142" s="22" t="s">
        <v>145</v>
      </c>
      <c r="L142" s="22">
        <v>2007</v>
      </c>
      <c r="M142" s="31">
        <v>141</v>
      </c>
      <c r="N142" s="10"/>
      <c r="O142" s="10"/>
      <c r="P142" s="10"/>
    </row>
    <row r="143" spans="1:16" ht="12.75">
      <c r="A143" s="11"/>
      <c r="B143" s="11"/>
      <c r="C143" s="11"/>
      <c r="D143" s="11"/>
      <c r="E143" s="11"/>
      <c r="F143" s="11"/>
      <c r="G143" s="11"/>
      <c r="H143" s="11"/>
      <c r="I143" s="29">
        <v>39356</v>
      </c>
      <c r="J143" s="32">
        <v>31</v>
      </c>
      <c r="K143" s="22" t="s">
        <v>146</v>
      </c>
      <c r="L143" s="22">
        <v>2007</v>
      </c>
      <c r="M143" s="31">
        <v>142</v>
      </c>
      <c r="N143" s="10"/>
      <c r="O143" s="10"/>
      <c r="P143" s="10"/>
    </row>
    <row r="144" spans="1:16" ht="12.75">
      <c r="A144" s="11"/>
      <c r="B144" s="11"/>
      <c r="C144" s="11"/>
      <c r="D144" s="11"/>
      <c r="E144" s="11"/>
      <c r="F144" s="11"/>
      <c r="G144" s="11"/>
      <c r="H144" s="11"/>
      <c r="I144" s="29">
        <v>39387</v>
      </c>
      <c r="J144" s="32">
        <v>30</v>
      </c>
      <c r="K144" s="22" t="s">
        <v>147</v>
      </c>
      <c r="L144" s="22">
        <v>2007</v>
      </c>
      <c r="M144" s="31">
        <v>143</v>
      </c>
      <c r="N144" s="10"/>
      <c r="O144" s="10"/>
      <c r="P144" s="10"/>
    </row>
    <row r="145" spans="1:16" ht="12.75">
      <c r="A145" s="11"/>
      <c r="B145" s="11"/>
      <c r="C145" s="11"/>
      <c r="D145" s="11"/>
      <c r="E145" s="11"/>
      <c r="F145" s="11"/>
      <c r="G145" s="11"/>
      <c r="H145" s="11"/>
      <c r="I145" s="29">
        <v>39417</v>
      </c>
      <c r="J145" s="32">
        <v>31</v>
      </c>
      <c r="K145" s="22" t="s">
        <v>148</v>
      </c>
      <c r="L145" s="22">
        <v>2007</v>
      </c>
      <c r="M145" s="31">
        <v>144</v>
      </c>
      <c r="N145" s="10"/>
      <c r="O145" s="10"/>
      <c r="P145" s="10"/>
    </row>
    <row r="146" spans="1:16" ht="12.75">
      <c r="A146" s="11"/>
      <c r="B146" s="11"/>
      <c r="C146" s="11"/>
      <c r="D146" s="11"/>
      <c r="E146" s="11"/>
      <c r="F146" s="11"/>
      <c r="G146" s="11"/>
      <c r="H146" s="11"/>
      <c r="I146" s="29">
        <v>39448</v>
      </c>
      <c r="J146" s="30">
        <v>31</v>
      </c>
      <c r="K146" s="22" t="s">
        <v>137</v>
      </c>
      <c r="L146" s="22">
        <v>2008</v>
      </c>
      <c r="M146" s="31">
        <v>145</v>
      </c>
      <c r="N146" s="10"/>
      <c r="O146" s="10"/>
      <c r="P146" s="10"/>
    </row>
    <row r="147" spans="1:16" ht="12.75">
      <c r="A147" s="11"/>
      <c r="B147" s="11"/>
      <c r="C147" s="11"/>
      <c r="D147" s="11"/>
      <c r="E147" s="11"/>
      <c r="F147" s="11"/>
      <c r="G147" s="11"/>
      <c r="H147" s="11"/>
      <c r="I147" s="29">
        <v>39479</v>
      </c>
      <c r="J147" s="30">
        <v>29</v>
      </c>
      <c r="K147" s="22" t="s">
        <v>138</v>
      </c>
      <c r="L147" s="22">
        <v>2008</v>
      </c>
      <c r="M147" s="31">
        <v>146</v>
      </c>
      <c r="N147" s="10"/>
      <c r="O147" s="10"/>
      <c r="P147" s="10"/>
    </row>
    <row r="148" spans="1:16" ht="12.75">
      <c r="A148" s="11"/>
      <c r="B148" s="11"/>
      <c r="C148" s="11"/>
      <c r="D148" s="11"/>
      <c r="E148" s="11"/>
      <c r="F148" s="11"/>
      <c r="G148" s="11"/>
      <c r="H148" s="11"/>
      <c r="I148" s="29">
        <v>39508</v>
      </c>
      <c r="J148" s="32">
        <v>31</v>
      </c>
      <c r="K148" s="22" t="s">
        <v>139</v>
      </c>
      <c r="L148" s="22">
        <v>2008</v>
      </c>
      <c r="M148" s="31">
        <v>147</v>
      </c>
      <c r="N148" s="10"/>
      <c r="O148" s="10"/>
      <c r="P148" s="10"/>
    </row>
    <row r="149" spans="1:16" ht="12.75">
      <c r="A149" s="11"/>
      <c r="B149" s="11"/>
      <c r="C149" s="11"/>
      <c r="D149" s="11"/>
      <c r="E149" s="11"/>
      <c r="F149" s="11"/>
      <c r="G149" s="11"/>
      <c r="H149" s="11"/>
      <c r="I149" s="29">
        <v>39539</v>
      </c>
      <c r="J149" s="32">
        <v>30</v>
      </c>
      <c r="K149" s="22" t="s">
        <v>140</v>
      </c>
      <c r="L149" s="22">
        <v>2008</v>
      </c>
      <c r="M149" s="31">
        <v>148</v>
      </c>
      <c r="N149" s="10"/>
      <c r="O149" s="10"/>
      <c r="P149" s="10"/>
    </row>
    <row r="150" spans="1:16" ht="12.75">
      <c r="A150" s="11"/>
      <c r="B150" s="11"/>
      <c r="C150" s="11"/>
      <c r="D150" s="11"/>
      <c r="E150" s="11"/>
      <c r="F150" s="11"/>
      <c r="G150" s="11"/>
      <c r="H150" s="11"/>
      <c r="I150" s="29">
        <v>39569</v>
      </c>
      <c r="J150" s="32">
        <v>31</v>
      </c>
      <c r="K150" s="22" t="s">
        <v>141</v>
      </c>
      <c r="L150" s="22">
        <v>2008</v>
      </c>
      <c r="M150" s="31">
        <v>149</v>
      </c>
      <c r="N150" s="10"/>
      <c r="O150" s="10"/>
      <c r="P150" s="10"/>
    </row>
    <row r="151" spans="1:16" ht="12.75">
      <c r="A151" s="11"/>
      <c r="B151" s="11"/>
      <c r="C151" s="11"/>
      <c r="D151" s="11"/>
      <c r="E151" s="11"/>
      <c r="F151" s="11"/>
      <c r="G151" s="11"/>
      <c r="H151" s="11"/>
      <c r="I151" s="29">
        <v>39600</v>
      </c>
      <c r="J151" s="32">
        <v>30</v>
      </c>
      <c r="K151" s="22" t="s">
        <v>142</v>
      </c>
      <c r="L151" s="22">
        <v>2008</v>
      </c>
      <c r="M151" s="31">
        <v>150</v>
      </c>
      <c r="N151" s="10"/>
      <c r="O151" s="10"/>
      <c r="P151" s="10"/>
    </row>
    <row r="152" spans="1:16" ht="12.75">
      <c r="A152" s="11"/>
      <c r="B152" s="11"/>
      <c r="C152" s="11"/>
      <c r="D152" s="11"/>
      <c r="E152" s="11"/>
      <c r="F152" s="11"/>
      <c r="G152" s="11"/>
      <c r="H152" s="11"/>
      <c r="I152" s="29">
        <v>39630</v>
      </c>
      <c r="J152" s="32">
        <v>31</v>
      </c>
      <c r="K152" s="22" t="s">
        <v>143</v>
      </c>
      <c r="L152" s="22">
        <v>2008</v>
      </c>
      <c r="M152" s="31">
        <v>151</v>
      </c>
      <c r="N152" s="10"/>
      <c r="O152" s="10"/>
      <c r="P152" s="10"/>
    </row>
    <row r="153" spans="1:16" ht="12.75">
      <c r="A153" s="11"/>
      <c r="B153" s="11"/>
      <c r="C153" s="11"/>
      <c r="D153" s="11"/>
      <c r="E153" s="11"/>
      <c r="F153" s="11"/>
      <c r="G153" s="11"/>
      <c r="H153" s="11"/>
      <c r="I153" s="29">
        <v>39661</v>
      </c>
      <c r="J153" s="32">
        <v>31</v>
      </c>
      <c r="K153" s="22" t="s">
        <v>144</v>
      </c>
      <c r="L153" s="22">
        <v>2008</v>
      </c>
      <c r="M153" s="31">
        <v>152</v>
      </c>
      <c r="N153" s="10"/>
      <c r="O153" s="10"/>
      <c r="P153" s="10"/>
    </row>
    <row r="154" spans="1:16" ht="12.75">
      <c r="A154" s="11"/>
      <c r="B154" s="11"/>
      <c r="C154" s="11"/>
      <c r="D154" s="11"/>
      <c r="E154" s="11"/>
      <c r="F154" s="11"/>
      <c r="G154" s="11"/>
      <c r="H154" s="11"/>
      <c r="I154" s="29">
        <v>39692</v>
      </c>
      <c r="J154" s="32">
        <v>30</v>
      </c>
      <c r="K154" s="22" t="s">
        <v>145</v>
      </c>
      <c r="L154" s="22">
        <v>2008</v>
      </c>
      <c r="M154" s="31">
        <v>153</v>
      </c>
      <c r="N154" s="10"/>
      <c r="O154" s="10"/>
      <c r="P154" s="10"/>
    </row>
    <row r="155" spans="1:16" ht="12.75">
      <c r="A155" s="11"/>
      <c r="B155" s="11"/>
      <c r="C155" s="11"/>
      <c r="D155" s="11"/>
      <c r="E155" s="11"/>
      <c r="F155" s="11"/>
      <c r="G155" s="11"/>
      <c r="H155" s="11"/>
      <c r="I155" s="29">
        <v>39722</v>
      </c>
      <c r="J155" s="32">
        <v>31</v>
      </c>
      <c r="K155" s="22" t="s">
        <v>146</v>
      </c>
      <c r="L155" s="22">
        <v>2008</v>
      </c>
      <c r="M155" s="31">
        <v>154</v>
      </c>
      <c r="N155" s="10"/>
      <c r="O155" s="10"/>
      <c r="P155" s="10"/>
    </row>
    <row r="156" spans="1:16" ht="12.75">
      <c r="A156" s="11"/>
      <c r="B156" s="11"/>
      <c r="C156" s="11"/>
      <c r="D156" s="11"/>
      <c r="E156" s="11"/>
      <c r="F156" s="11"/>
      <c r="G156" s="11"/>
      <c r="H156" s="11"/>
      <c r="I156" s="29">
        <v>39753</v>
      </c>
      <c r="J156" s="32">
        <v>30</v>
      </c>
      <c r="K156" s="22" t="s">
        <v>147</v>
      </c>
      <c r="L156" s="22">
        <v>2008</v>
      </c>
      <c r="M156" s="31">
        <v>155</v>
      </c>
      <c r="N156" s="10"/>
      <c r="O156" s="10"/>
      <c r="P156" s="10"/>
    </row>
    <row r="157" spans="1:16" ht="12.75">
      <c r="A157" s="11"/>
      <c r="B157" s="11"/>
      <c r="C157" s="11"/>
      <c r="D157" s="11"/>
      <c r="E157" s="11"/>
      <c r="F157" s="11"/>
      <c r="G157" s="11"/>
      <c r="H157" s="11"/>
      <c r="I157" s="29">
        <v>39783</v>
      </c>
      <c r="J157" s="32">
        <v>31</v>
      </c>
      <c r="K157" s="22" t="s">
        <v>148</v>
      </c>
      <c r="L157" s="22">
        <v>2008</v>
      </c>
      <c r="M157" s="31">
        <v>156</v>
      </c>
      <c r="N157" s="10"/>
      <c r="O157" s="10"/>
      <c r="P157" s="10"/>
    </row>
    <row r="158" spans="1:16" ht="12.75">
      <c r="A158" s="11"/>
      <c r="B158" s="11"/>
      <c r="C158" s="11"/>
      <c r="D158" s="11"/>
      <c r="E158" s="11"/>
      <c r="F158" s="11"/>
      <c r="G158" s="11"/>
      <c r="H158" s="11"/>
      <c r="I158" s="29">
        <v>39814</v>
      </c>
      <c r="J158" s="30">
        <v>31</v>
      </c>
      <c r="K158" s="22" t="s">
        <v>137</v>
      </c>
      <c r="L158" s="22">
        <v>2009</v>
      </c>
      <c r="M158" s="31">
        <v>157</v>
      </c>
      <c r="N158" s="10"/>
      <c r="O158" s="10"/>
      <c r="P158" s="10"/>
    </row>
    <row r="159" spans="1:16" ht="12.75">
      <c r="A159" s="11"/>
      <c r="B159" s="11"/>
      <c r="C159" s="11"/>
      <c r="D159" s="11"/>
      <c r="E159" s="11"/>
      <c r="F159" s="11"/>
      <c r="G159" s="11"/>
      <c r="H159" s="11"/>
      <c r="I159" s="29">
        <v>39845</v>
      </c>
      <c r="J159" s="30">
        <v>28</v>
      </c>
      <c r="K159" s="22" t="s">
        <v>138</v>
      </c>
      <c r="L159" s="22">
        <v>2009</v>
      </c>
      <c r="M159" s="31">
        <v>158</v>
      </c>
      <c r="N159" s="10"/>
      <c r="O159" s="10"/>
      <c r="P159" s="10"/>
    </row>
    <row r="160" spans="1:16" ht="12.75">
      <c r="A160" s="11"/>
      <c r="B160" s="11"/>
      <c r="C160" s="11"/>
      <c r="D160" s="11"/>
      <c r="E160" s="11"/>
      <c r="F160" s="11"/>
      <c r="G160" s="11"/>
      <c r="H160" s="11"/>
      <c r="I160" s="29">
        <v>39873</v>
      </c>
      <c r="J160" s="32">
        <v>31</v>
      </c>
      <c r="K160" s="22" t="s">
        <v>139</v>
      </c>
      <c r="L160" s="22">
        <v>2009</v>
      </c>
      <c r="M160" s="31">
        <v>159</v>
      </c>
      <c r="N160" s="10"/>
      <c r="O160" s="10"/>
      <c r="P160" s="10"/>
    </row>
    <row r="161" spans="1:16" ht="12.75">
      <c r="A161" s="11"/>
      <c r="B161" s="11"/>
      <c r="C161" s="11"/>
      <c r="D161" s="11"/>
      <c r="E161" s="11"/>
      <c r="F161" s="11"/>
      <c r="G161" s="11"/>
      <c r="H161" s="11"/>
      <c r="I161" s="29">
        <v>39904</v>
      </c>
      <c r="J161" s="32">
        <v>30</v>
      </c>
      <c r="K161" s="22" t="s">
        <v>140</v>
      </c>
      <c r="L161" s="22">
        <v>2009</v>
      </c>
      <c r="M161" s="31">
        <v>160</v>
      </c>
      <c r="N161" s="10"/>
      <c r="O161" s="10"/>
      <c r="P161" s="10"/>
    </row>
    <row r="162" spans="1:16" ht="12.75">
      <c r="A162" s="11"/>
      <c r="B162" s="11"/>
      <c r="C162" s="11"/>
      <c r="D162" s="11"/>
      <c r="E162" s="11"/>
      <c r="F162" s="11"/>
      <c r="G162" s="11"/>
      <c r="H162" s="11"/>
      <c r="I162" s="29">
        <v>39934</v>
      </c>
      <c r="J162" s="32">
        <v>31</v>
      </c>
      <c r="K162" s="22" t="s">
        <v>141</v>
      </c>
      <c r="L162" s="22">
        <v>2009</v>
      </c>
      <c r="M162" s="31">
        <v>161</v>
      </c>
      <c r="N162" s="10"/>
      <c r="O162" s="10"/>
      <c r="P162" s="10"/>
    </row>
    <row r="163" spans="1:16" ht="12.75">
      <c r="A163" s="11"/>
      <c r="B163" s="11"/>
      <c r="C163" s="11"/>
      <c r="D163" s="11"/>
      <c r="E163" s="11"/>
      <c r="F163" s="11"/>
      <c r="G163" s="11"/>
      <c r="H163" s="11"/>
      <c r="I163" s="29">
        <v>39965</v>
      </c>
      <c r="J163" s="32">
        <v>30</v>
      </c>
      <c r="K163" s="22" t="s">
        <v>142</v>
      </c>
      <c r="L163" s="22">
        <v>2009</v>
      </c>
      <c r="M163" s="31">
        <v>162</v>
      </c>
      <c r="N163" s="10"/>
      <c r="O163" s="10"/>
      <c r="P163" s="10"/>
    </row>
    <row r="164" spans="1:16" ht="12.75">
      <c r="A164" s="11"/>
      <c r="B164" s="11"/>
      <c r="C164" s="11"/>
      <c r="D164" s="11"/>
      <c r="E164" s="11"/>
      <c r="F164" s="11"/>
      <c r="G164" s="11"/>
      <c r="H164" s="11"/>
      <c r="I164" s="29">
        <v>39995</v>
      </c>
      <c r="J164" s="32">
        <v>31</v>
      </c>
      <c r="K164" s="22" t="s">
        <v>143</v>
      </c>
      <c r="L164" s="22">
        <v>2009</v>
      </c>
      <c r="M164" s="31">
        <v>163</v>
      </c>
      <c r="N164" s="10"/>
      <c r="O164" s="10"/>
      <c r="P164" s="10"/>
    </row>
    <row r="165" spans="1:16" ht="12.75">
      <c r="A165" s="11"/>
      <c r="B165" s="11"/>
      <c r="C165" s="11"/>
      <c r="D165" s="11"/>
      <c r="E165" s="11"/>
      <c r="F165" s="11"/>
      <c r="G165" s="11"/>
      <c r="H165" s="11"/>
      <c r="I165" s="29">
        <v>40026</v>
      </c>
      <c r="J165" s="32">
        <v>31</v>
      </c>
      <c r="K165" s="22" t="s">
        <v>144</v>
      </c>
      <c r="L165" s="22">
        <v>2009</v>
      </c>
      <c r="M165" s="31">
        <v>164</v>
      </c>
      <c r="N165" s="10"/>
      <c r="O165" s="10"/>
      <c r="P165" s="10"/>
    </row>
    <row r="166" spans="1:16" ht="12.75">
      <c r="A166" s="11"/>
      <c r="B166" s="11"/>
      <c r="C166" s="11"/>
      <c r="D166" s="11"/>
      <c r="E166" s="11"/>
      <c r="F166" s="11"/>
      <c r="G166" s="11"/>
      <c r="H166" s="11"/>
      <c r="I166" s="29">
        <v>40057</v>
      </c>
      <c r="J166" s="32">
        <v>30</v>
      </c>
      <c r="K166" s="22" t="s">
        <v>145</v>
      </c>
      <c r="L166" s="22">
        <v>2009</v>
      </c>
      <c r="M166" s="31">
        <v>165</v>
      </c>
      <c r="N166" s="10"/>
      <c r="O166" s="10"/>
      <c r="P166" s="10"/>
    </row>
    <row r="167" spans="1:16" ht="12.75">
      <c r="A167" s="11"/>
      <c r="B167" s="11"/>
      <c r="C167" s="11"/>
      <c r="D167" s="11"/>
      <c r="E167" s="11"/>
      <c r="F167" s="11"/>
      <c r="G167" s="11"/>
      <c r="H167" s="11"/>
      <c r="I167" s="29">
        <v>40087</v>
      </c>
      <c r="J167" s="32">
        <v>31</v>
      </c>
      <c r="K167" s="22" t="s">
        <v>146</v>
      </c>
      <c r="L167" s="22">
        <v>2009</v>
      </c>
      <c r="M167" s="31">
        <v>166</v>
      </c>
      <c r="N167" s="10"/>
      <c r="O167" s="10"/>
      <c r="P167" s="10"/>
    </row>
    <row r="168" spans="1:16" ht="12.75">
      <c r="A168" s="11"/>
      <c r="B168" s="11"/>
      <c r="C168" s="11"/>
      <c r="D168" s="11"/>
      <c r="E168" s="11"/>
      <c r="F168" s="11"/>
      <c r="G168" s="11"/>
      <c r="H168" s="11"/>
      <c r="I168" s="29">
        <v>40118</v>
      </c>
      <c r="J168" s="32">
        <v>30</v>
      </c>
      <c r="K168" s="22" t="s">
        <v>147</v>
      </c>
      <c r="L168" s="22">
        <v>2009</v>
      </c>
      <c r="M168" s="31">
        <v>167</v>
      </c>
      <c r="N168" s="10"/>
      <c r="O168" s="10"/>
      <c r="P168" s="10"/>
    </row>
    <row r="169" spans="1:16" ht="12.75">
      <c r="A169" s="11"/>
      <c r="B169" s="11"/>
      <c r="C169" s="11"/>
      <c r="D169" s="11"/>
      <c r="E169" s="11"/>
      <c r="F169" s="11"/>
      <c r="G169" s="11"/>
      <c r="H169" s="11"/>
      <c r="I169" s="29">
        <v>40148</v>
      </c>
      <c r="J169" s="32">
        <v>31</v>
      </c>
      <c r="K169" s="22" t="s">
        <v>148</v>
      </c>
      <c r="L169" s="22">
        <v>2009</v>
      </c>
      <c r="M169" s="31">
        <v>168</v>
      </c>
      <c r="N169" s="10"/>
      <c r="O169" s="10"/>
      <c r="P169" s="10"/>
    </row>
    <row r="170" spans="1:16" ht="12.75">
      <c r="A170" s="11"/>
      <c r="B170" s="11"/>
      <c r="C170" s="11"/>
      <c r="D170" s="11"/>
      <c r="E170" s="11"/>
      <c r="F170" s="11"/>
      <c r="G170" s="11"/>
      <c r="H170" s="11"/>
      <c r="I170" s="29">
        <v>40179</v>
      </c>
      <c r="J170" s="30">
        <v>31</v>
      </c>
      <c r="K170" s="22" t="s">
        <v>137</v>
      </c>
      <c r="L170" s="22">
        <v>2010</v>
      </c>
      <c r="M170" s="31">
        <v>169</v>
      </c>
      <c r="N170" s="10"/>
      <c r="O170" s="10"/>
      <c r="P170" s="10"/>
    </row>
    <row r="171" spans="1:16" ht="12.75">
      <c r="A171" s="11"/>
      <c r="B171" s="11"/>
      <c r="C171" s="11"/>
      <c r="D171" s="11"/>
      <c r="E171" s="11"/>
      <c r="F171" s="11"/>
      <c r="G171" s="11"/>
      <c r="H171" s="11"/>
      <c r="I171" s="29">
        <v>40210</v>
      </c>
      <c r="J171" s="30">
        <v>28</v>
      </c>
      <c r="K171" s="22" t="s">
        <v>138</v>
      </c>
      <c r="L171" s="22">
        <v>2010</v>
      </c>
      <c r="M171" s="31">
        <v>170</v>
      </c>
      <c r="N171" s="10"/>
      <c r="O171" s="10"/>
      <c r="P171" s="10"/>
    </row>
    <row r="172" spans="1:16" ht="12.75">
      <c r="A172" s="11"/>
      <c r="B172" s="11"/>
      <c r="C172" s="11"/>
      <c r="D172" s="11"/>
      <c r="E172" s="11"/>
      <c r="F172" s="11"/>
      <c r="G172" s="11"/>
      <c r="H172" s="11"/>
      <c r="I172" s="29">
        <v>40238</v>
      </c>
      <c r="J172" s="32">
        <v>31</v>
      </c>
      <c r="K172" s="22" t="s">
        <v>139</v>
      </c>
      <c r="L172" s="22">
        <v>2010</v>
      </c>
      <c r="M172" s="31">
        <v>171</v>
      </c>
      <c r="N172" s="10"/>
      <c r="O172" s="10"/>
      <c r="P172" s="10"/>
    </row>
    <row r="173" spans="1:16" ht="12.75">
      <c r="A173" s="11"/>
      <c r="B173" s="11"/>
      <c r="C173" s="11"/>
      <c r="D173" s="11"/>
      <c r="E173" s="11"/>
      <c r="F173" s="11"/>
      <c r="G173" s="11"/>
      <c r="H173" s="11"/>
      <c r="I173" s="29">
        <v>40269</v>
      </c>
      <c r="J173" s="32">
        <v>30</v>
      </c>
      <c r="K173" s="22" t="s">
        <v>140</v>
      </c>
      <c r="L173" s="22">
        <v>2010</v>
      </c>
      <c r="M173" s="31">
        <v>172</v>
      </c>
      <c r="N173" s="10"/>
      <c r="O173" s="10"/>
      <c r="P173" s="10"/>
    </row>
    <row r="174" spans="1:16" ht="12.75">
      <c r="A174" s="11"/>
      <c r="B174" s="11"/>
      <c r="C174" s="11"/>
      <c r="D174" s="11"/>
      <c r="E174" s="11"/>
      <c r="F174" s="11"/>
      <c r="G174" s="11"/>
      <c r="H174" s="11"/>
      <c r="I174" s="29">
        <v>40299</v>
      </c>
      <c r="J174" s="32">
        <v>31</v>
      </c>
      <c r="K174" s="22" t="s">
        <v>141</v>
      </c>
      <c r="L174" s="22">
        <v>2010</v>
      </c>
      <c r="M174" s="31">
        <v>173</v>
      </c>
      <c r="N174" s="10"/>
      <c r="O174" s="10"/>
      <c r="P174" s="10"/>
    </row>
    <row r="175" spans="1:16" ht="12.75">
      <c r="A175" s="11"/>
      <c r="B175" s="11"/>
      <c r="C175" s="11"/>
      <c r="D175" s="11"/>
      <c r="E175" s="11"/>
      <c r="F175" s="11"/>
      <c r="G175" s="11"/>
      <c r="H175" s="11"/>
      <c r="I175" s="29">
        <v>40330</v>
      </c>
      <c r="J175" s="32">
        <v>30</v>
      </c>
      <c r="K175" s="22" t="s">
        <v>142</v>
      </c>
      <c r="L175" s="22">
        <v>2010</v>
      </c>
      <c r="M175" s="31">
        <v>174</v>
      </c>
      <c r="N175" s="10"/>
      <c r="O175" s="10"/>
      <c r="P175" s="10"/>
    </row>
    <row r="176" spans="1:16" ht="12.75">
      <c r="A176" s="11"/>
      <c r="B176" s="11"/>
      <c r="C176" s="11"/>
      <c r="D176" s="11"/>
      <c r="E176" s="11"/>
      <c r="F176" s="11"/>
      <c r="G176" s="11"/>
      <c r="H176" s="11"/>
      <c r="I176" s="29">
        <v>40360</v>
      </c>
      <c r="J176" s="32">
        <v>31</v>
      </c>
      <c r="K176" s="22" t="s">
        <v>143</v>
      </c>
      <c r="L176" s="22">
        <v>2010</v>
      </c>
      <c r="M176" s="31">
        <v>175</v>
      </c>
      <c r="N176" s="10"/>
      <c r="O176" s="10"/>
      <c r="P176" s="10"/>
    </row>
    <row r="177" spans="1:16" ht="12.75">
      <c r="A177" s="11"/>
      <c r="B177" s="11"/>
      <c r="C177" s="11"/>
      <c r="D177" s="11"/>
      <c r="E177" s="11"/>
      <c r="F177" s="11"/>
      <c r="G177" s="11"/>
      <c r="H177" s="11"/>
      <c r="I177" s="29">
        <v>40391</v>
      </c>
      <c r="J177" s="32">
        <v>31</v>
      </c>
      <c r="K177" s="22" t="s">
        <v>144</v>
      </c>
      <c r="L177" s="22">
        <v>2010</v>
      </c>
      <c r="M177" s="31">
        <v>176</v>
      </c>
      <c r="N177" s="10"/>
      <c r="O177" s="10"/>
      <c r="P177" s="10"/>
    </row>
    <row r="178" spans="1:16" ht="12.75">
      <c r="A178" s="11"/>
      <c r="B178" s="11"/>
      <c r="C178" s="11"/>
      <c r="D178" s="11"/>
      <c r="E178" s="11"/>
      <c r="F178" s="11"/>
      <c r="G178" s="11"/>
      <c r="H178" s="11"/>
      <c r="I178" s="29">
        <v>40422</v>
      </c>
      <c r="J178" s="32">
        <v>30</v>
      </c>
      <c r="K178" s="22" t="s">
        <v>145</v>
      </c>
      <c r="L178" s="22">
        <v>2010</v>
      </c>
      <c r="M178" s="31">
        <v>177</v>
      </c>
      <c r="N178" s="10"/>
      <c r="O178" s="10"/>
      <c r="P178" s="10"/>
    </row>
    <row r="179" spans="1:16" ht="12.75">
      <c r="A179" s="11"/>
      <c r="B179" s="11"/>
      <c r="C179" s="11"/>
      <c r="D179" s="11"/>
      <c r="E179" s="11"/>
      <c r="F179" s="11"/>
      <c r="G179" s="11"/>
      <c r="H179" s="11"/>
      <c r="I179" s="29">
        <v>40452</v>
      </c>
      <c r="J179" s="32">
        <v>31</v>
      </c>
      <c r="K179" s="22" t="s">
        <v>146</v>
      </c>
      <c r="L179" s="22">
        <v>2010</v>
      </c>
      <c r="M179" s="31">
        <v>178</v>
      </c>
      <c r="N179" s="10"/>
      <c r="O179" s="10"/>
      <c r="P179" s="10"/>
    </row>
    <row r="180" spans="1:16" ht="12.75">
      <c r="A180" s="11"/>
      <c r="B180" s="11"/>
      <c r="C180" s="11"/>
      <c r="D180" s="11"/>
      <c r="E180" s="11"/>
      <c r="F180" s="11"/>
      <c r="G180" s="11"/>
      <c r="H180" s="11"/>
      <c r="I180" s="29">
        <v>40483</v>
      </c>
      <c r="J180" s="32">
        <v>30</v>
      </c>
      <c r="K180" s="22" t="s">
        <v>147</v>
      </c>
      <c r="L180" s="22">
        <v>2010</v>
      </c>
      <c r="M180" s="31">
        <v>179</v>
      </c>
      <c r="N180" s="10"/>
      <c r="O180" s="10"/>
      <c r="P180" s="10"/>
    </row>
    <row r="181" spans="1:16" ht="12.75">
      <c r="A181" s="11"/>
      <c r="B181" s="11"/>
      <c r="C181" s="11"/>
      <c r="D181" s="11"/>
      <c r="E181" s="11"/>
      <c r="F181" s="11"/>
      <c r="G181" s="11"/>
      <c r="H181" s="11"/>
      <c r="I181" s="29">
        <v>40513</v>
      </c>
      <c r="J181" s="32">
        <v>31</v>
      </c>
      <c r="K181" s="22" t="s">
        <v>148</v>
      </c>
      <c r="L181" s="22">
        <v>2010</v>
      </c>
      <c r="M181" s="31">
        <v>180</v>
      </c>
      <c r="N181" s="10"/>
      <c r="O181" s="10"/>
      <c r="P181" s="10"/>
    </row>
    <row r="182" spans="1:16" ht="12.75">
      <c r="A182" s="11"/>
      <c r="B182" s="11"/>
      <c r="C182" s="11"/>
      <c r="D182" s="11"/>
      <c r="E182" s="11"/>
      <c r="F182" s="11"/>
      <c r="G182" s="11"/>
      <c r="H182" s="11"/>
      <c r="I182" s="29">
        <v>40544</v>
      </c>
      <c r="J182" s="30">
        <v>31</v>
      </c>
      <c r="K182" s="22" t="s">
        <v>137</v>
      </c>
      <c r="L182" s="22">
        <v>2011</v>
      </c>
      <c r="M182" s="31">
        <v>181</v>
      </c>
      <c r="N182" s="10"/>
      <c r="O182" s="10"/>
      <c r="P182" s="10"/>
    </row>
    <row r="183" spans="1:16" ht="12.75">
      <c r="A183" s="11"/>
      <c r="B183" s="11"/>
      <c r="C183" s="11"/>
      <c r="D183" s="11"/>
      <c r="E183" s="11"/>
      <c r="F183" s="11"/>
      <c r="G183" s="11"/>
      <c r="H183" s="11"/>
      <c r="I183" s="29">
        <v>40575</v>
      </c>
      <c r="J183" s="30">
        <v>28</v>
      </c>
      <c r="K183" s="22" t="s">
        <v>138</v>
      </c>
      <c r="L183" s="22">
        <v>2011</v>
      </c>
      <c r="M183" s="31">
        <v>182</v>
      </c>
      <c r="N183" s="10"/>
      <c r="O183" s="10"/>
      <c r="P183" s="10"/>
    </row>
    <row r="184" spans="1:16" ht="12.75">
      <c r="A184" s="11"/>
      <c r="B184" s="11"/>
      <c r="C184" s="11"/>
      <c r="D184" s="11"/>
      <c r="E184" s="11"/>
      <c r="F184" s="11"/>
      <c r="G184" s="11"/>
      <c r="H184" s="11"/>
      <c r="I184" s="29">
        <v>40603</v>
      </c>
      <c r="J184" s="32">
        <v>31</v>
      </c>
      <c r="K184" s="22" t="s">
        <v>139</v>
      </c>
      <c r="L184" s="22">
        <v>2011</v>
      </c>
      <c r="M184" s="31">
        <v>183</v>
      </c>
      <c r="N184" s="10"/>
      <c r="O184" s="10"/>
      <c r="P184" s="10"/>
    </row>
    <row r="185" spans="1:16" ht="12.75">
      <c r="A185" s="11"/>
      <c r="B185" s="11"/>
      <c r="C185" s="11"/>
      <c r="D185" s="11"/>
      <c r="E185" s="11"/>
      <c r="F185" s="11"/>
      <c r="G185" s="11"/>
      <c r="H185" s="11"/>
      <c r="I185" s="29">
        <v>40634</v>
      </c>
      <c r="J185" s="32">
        <v>30</v>
      </c>
      <c r="K185" s="22" t="s">
        <v>140</v>
      </c>
      <c r="L185" s="22">
        <v>2011</v>
      </c>
      <c r="M185" s="31">
        <v>184</v>
      </c>
      <c r="N185" s="10"/>
      <c r="O185" s="10"/>
      <c r="P185" s="10"/>
    </row>
    <row r="186" spans="1:16" ht="12.75">
      <c r="A186" s="11"/>
      <c r="B186" s="11"/>
      <c r="C186" s="11"/>
      <c r="D186" s="11"/>
      <c r="E186" s="11"/>
      <c r="F186" s="11"/>
      <c r="G186" s="11"/>
      <c r="H186" s="11"/>
      <c r="I186" s="29">
        <v>40664</v>
      </c>
      <c r="J186" s="32">
        <v>31</v>
      </c>
      <c r="K186" s="22" t="s">
        <v>141</v>
      </c>
      <c r="L186" s="22">
        <v>2011</v>
      </c>
      <c r="M186" s="31">
        <v>185</v>
      </c>
      <c r="N186" s="10"/>
      <c r="O186" s="10"/>
      <c r="P186" s="10"/>
    </row>
    <row r="187" spans="1:16" ht="12.75">
      <c r="A187" s="11"/>
      <c r="B187" s="11"/>
      <c r="C187" s="11"/>
      <c r="D187" s="11"/>
      <c r="E187" s="11"/>
      <c r="F187" s="11"/>
      <c r="G187" s="11"/>
      <c r="H187" s="11"/>
      <c r="I187" s="29">
        <v>40695</v>
      </c>
      <c r="J187" s="32">
        <v>30</v>
      </c>
      <c r="K187" s="22" t="s">
        <v>142</v>
      </c>
      <c r="L187" s="22">
        <v>2011</v>
      </c>
      <c r="M187" s="31">
        <v>186</v>
      </c>
      <c r="N187" s="10"/>
      <c r="O187" s="10"/>
      <c r="P187" s="10"/>
    </row>
    <row r="188" spans="1:16" ht="12.75">
      <c r="A188" s="11"/>
      <c r="B188" s="11"/>
      <c r="C188" s="11"/>
      <c r="D188" s="11"/>
      <c r="E188" s="11"/>
      <c r="F188" s="11"/>
      <c r="G188" s="11"/>
      <c r="H188" s="11"/>
      <c r="I188" s="29">
        <v>40725</v>
      </c>
      <c r="J188" s="32">
        <v>31</v>
      </c>
      <c r="K188" s="22" t="s">
        <v>143</v>
      </c>
      <c r="L188" s="22">
        <v>2011</v>
      </c>
      <c r="M188" s="31">
        <v>187</v>
      </c>
      <c r="N188" s="10"/>
      <c r="O188" s="10"/>
      <c r="P188" s="10"/>
    </row>
    <row r="189" spans="1:16" ht="12.75">
      <c r="A189" s="11"/>
      <c r="B189" s="11"/>
      <c r="C189" s="11"/>
      <c r="D189" s="11"/>
      <c r="E189" s="11"/>
      <c r="F189" s="11"/>
      <c r="G189" s="11"/>
      <c r="H189" s="11"/>
      <c r="I189" s="29">
        <v>40756</v>
      </c>
      <c r="J189" s="32">
        <v>31</v>
      </c>
      <c r="K189" s="22" t="s">
        <v>144</v>
      </c>
      <c r="L189" s="22">
        <v>2011</v>
      </c>
      <c r="M189" s="31">
        <v>188</v>
      </c>
      <c r="N189" s="10"/>
      <c r="O189" s="10"/>
      <c r="P189" s="10"/>
    </row>
    <row r="190" spans="1:16" ht="12.75">
      <c r="A190" s="11"/>
      <c r="B190" s="11"/>
      <c r="C190" s="11"/>
      <c r="D190" s="11"/>
      <c r="E190" s="11"/>
      <c r="F190" s="11"/>
      <c r="G190" s="11"/>
      <c r="H190" s="11"/>
      <c r="I190" s="29">
        <v>40787</v>
      </c>
      <c r="J190" s="32">
        <v>30</v>
      </c>
      <c r="K190" s="22" t="s">
        <v>145</v>
      </c>
      <c r="L190" s="22">
        <v>2011</v>
      </c>
      <c r="M190" s="31">
        <v>189</v>
      </c>
      <c r="N190" s="10"/>
      <c r="O190" s="10"/>
      <c r="P190" s="10"/>
    </row>
    <row r="191" spans="1:16" ht="12.75">
      <c r="A191" s="11"/>
      <c r="B191" s="11"/>
      <c r="C191" s="11"/>
      <c r="D191" s="11"/>
      <c r="E191" s="11"/>
      <c r="F191" s="11"/>
      <c r="G191" s="11"/>
      <c r="H191" s="11"/>
      <c r="I191" s="29">
        <v>40817</v>
      </c>
      <c r="J191" s="32">
        <v>31</v>
      </c>
      <c r="K191" s="22" t="s">
        <v>146</v>
      </c>
      <c r="L191" s="22">
        <v>2011</v>
      </c>
      <c r="M191" s="31">
        <v>190</v>
      </c>
      <c r="N191" s="10"/>
      <c r="O191" s="10"/>
      <c r="P191" s="10"/>
    </row>
    <row r="192" spans="1:16" ht="12.75">
      <c r="A192" s="11"/>
      <c r="B192" s="11"/>
      <c r="C192" s="11"/>
      <c r="D192" s="11"/>
      <c r="E192" s="11"/>
      <c r="F192" s="11"/>
      <c r="G192" s="11"/>
      <c r="H192" s="11"/>
      <c r="I192" s="29">
        <v>40848</v>
      </c>
      <c r="J192" s="32">
        <v>30</v>
      </c>
      <c r="K192" s="22" t="s">
        <v>147</v>
      </c>
      <c r="L192" s="22">
        <v>2011</v>
      </c>
      <c r="M192" s="31">
        <v>191</v>
      </c>
      <c r="N192" s="10"/>
      <c r="O192" s="10"/>
      <c r="P192" s="10"/>
    </row>
    <row r="193" spans="1:16" ht="12.75">
      <c r="A193" s="11"/>
      <c r="B193" s="11"/>
      <c r="C193" s="11"/>
      <c r="D193" s="11"/>
      <c r="E193" s="11"/>
      <c r="F193" s="11"/>
      <c r="G193" s="11"/>
      <c r="H193" s="11"/>
      <c r="I193" s="29">
        <v>40878</v>
      </c>
      <c r="J193" s="32">
        <v>31</v>
      </c>
      <c r="K193" s="22" t="s">
        <v>148</v>
      </c>
      <c r="L193" s="22">
        <v>2011</v>
      </c>
      <c r="M193" s="31">
        <v>192</v>
      </c>
      <c r="N193" s="10"/>
      <c r="O193" s="10"/>
      <c r="P193" s="10"/>
    </row>
    <row r="194" spans="1:16" ht="12.75">
      <c r="A194" s="11"/>
      <c r="B194" s="11"/>
      <c r="C194" s="11"/>
      <c r="D194" s="11"/>
      <c r="E194" s="11"/>
      <c r="F194" s="11"/>
      <c r="G194" s="11"/>
      <c r="H194" s="11"/>
      <c r="I194" s="29">
        <v>40909</v>
      </c>
      <c r="J194" s="30">
        <v>31</v>
      </c>
      <c r="K194" s="22" t="s">
        <v>137</v>
      </c>
      <c r="L194" s="22">
        <v>2012</v>
      </c>
      <c r="M194" s="31">
        <v>193</v>
      </c>
      <c r="N194" s="10"/>
      <c r="O194" s="10"/>
      <c r="P194" s="10"/>
    </row>
    <row r="195" spans="1:16" ht="12.75">
      <c r="A195" s="11"/>
      <c r="B195" s="11"/>
      <c r="C195" s="11"/>
      <c r="D195" s="11"/>
      <c r="E195" s="11"/>
      <c r="F195" s="11"/>
      <c r="G195" s="11"/>
      <c r="H195" s="11"/>
      <c r="I195" s="29">
        <v>40940</v>
      </c>
      <c r="J195" s="30">
        <v>29</v>
      </c>
      <c r="K195" s="22" t="s">
        <v>138</v>
      </c>
      <c r="L195" s="22">
        <v>2012</v>
      </c>
      <c r="M195" s="31">
        <v>194</v>
      </c>
      <c r="N195" s="10"/>
      <c r="O195" s="10"/>
      <c r="P195" s="10"/>
    </row>
    <row r="196" spans="1:16" ht="12.75">
      <c r="A196" s="11"/>
      <c r="B196" s="11"/>
      <c r="C196" s="11"/>
      <c r="D196" s="11"/>
      <c r="E196" s="11"/>
      <c r="F196" s="11"/>
      <c r="G196" s="11"/>
      <c r="H196" s="11"/>
      <c r="I196" s="29">
        <v>40969</v>
      </c>
      <c r="J196" s="32">
        <v>31</v>
      </c>
      <c r="K196" s="22" t="s">
        <v>139</v>
      </c>
      <c r="L196" s="22">
        <v>2012</v>
      </c>
      <c r="M196" s="31">
        <v>195</v>
      </c>
      <c r="N196" s="10"/>
      <c r="O196" s="10"/>
      <c r="P196" s="10"/>
    </row>
    <row r="197" spans="1:16" ht="12.75">
      <c r="A197" s="11"/>
      <c r="B197" s="11"/>
      <c r="C197" s="11"/>
      <c r="D197" s="11"/>
      <c r="E197" s="11"/>
      <c r="F197" s="11"/>
      <c r="G197" s="11"/>
      <c r="H197" s="11"/>
      <c r="I197" s="29">
        <v>41000</v>
      </c>
      <c r="J197" s="32">
        <v>30</v>
      </c>
      <c r="K197" s="22" t="s">
        <v>140</v>
      </c>
      <c r="L197" s="22">
        <v>2012</v>
      </c>
      <c r="M197" s="31">
        <v>196</v>
      </c>
      <c r="N197" s="10"/>
      <c r="O197" s="10"/>
      <c r="P197" s="10"/>
    </row>
    <row r="198" spans="1:16" ht="12.75">
      <c r="A198" s="11"/>
      <c r="B198" s="11"/>
      <c r="C198" s="11"/>
      <c r="D198" s="11"/>
      <c r="E198" s="11"/>
      <c r="F198" s="11"/>
      <c r="G198" s="11"/>
      <c r="H198" s="11"/>
      <c r="I198" s="29">
        <v>41030</v>
      </c>
      <c r="J198" s="32">
        <v>31</v>
      </c>
      <c r="K198" s="22" t="s">
        <v>141</v>
      </c>
      <c r="L198" s="22">
        <v>2012</v>
      </c>
      <c r="M198" s="31">
        <v>197</v>
      </c>
      <c r="N198" s="10"/>
      <c r="O198" s="10"/>
      <c r="P198" s="10"/>
    </row>
    <row r="199" spans="1:16" ht="12.75">
      <c r="A199" s="11"/>
      <c r="B199" s="11"/>
      <c r="C199" s="11"/>
      <c r="D199" s="11"/>
      <c r="E199" s="11"/>
      <c r="F199" s="11"/>
      <c r="G199" s="11"/>
      <c r="H199" s="11"/>
      <c r="I199" s="29">
        <v>41061</v>
      </c>
      <c r="J199" s="32">
        <v>30</v>
      </c>
      <c r="K199" s="22" t="s">
        <v>142</v>
      </c>
      <c r="L199" s="22">
        <v>2012</v>
      </c>
      <c r="M199" s="31">
        <v>198</v>
      </c>
      <c r="N199" s="10"/>
      <c r="O199" s="10"/>
      <c r="P199" s="10"/>
    </row>
    <row r="200" spans="1:16" ht="12.75">
      <c r="A200" s="11"/>
      <c r="B200" s="11"/>
      <c r="C200" s="11"/>
      <c r="D200" s="11"/>
      <c r="E200" s="11"/>
      <c r="F200" s="11"/>
      <c r="G200" s="11"/>
      <c r="H200" s="11"/>
      <c r="I200" s="29">
        <v>41091</v>
      </c>
      <c r="J200" s="32">
        <v>31</v>
      </c>
      <c r="K200" s="22" t="s">
        <v>143</v>
      </c>
      <c r="L200" s="22">
        <v>2012</v>
      </c>
      <c r="M200" s="31">
        <v>199</v>
      </c>
      <c r="N200" s="10"/>
      <c r="O200" s="10"/>
      <c r="P200" s="10"/>
    </row>
    <row r="201" spans="1:16" ht="12.75">
      <c r="A201" s="11"/>
      <c r="B201" s="11"/>
      <c r="C201" s="11"/>
      <c r="D201" s="11"/>
      <c r="E201" s="11"/>
      <c r="F201" s="11"/>
      <c r="G201" s="11"/>
      <c r="H201" s="11"/>
      <c r="I201" s="29">
        <v>41122</v>
      </c>
      <c r="J201" s="32">
        <v>31</v>
      </c>
      <c r="K201" s="22" t="s">
        <v>144</v>
      </c>
      <c r="L201" s="22">
        <v>2012</v>
      </c>
      <c r="M201" s="31">
        <v>200</v>
      </c>
      <c r="N201" s="10"/>
      <c r="O201" s="10"/>
      <c r="P201" s="10"/>
    </row>
    <row r="202" spans="1:16" ht="12.75">
      <c r="A202" s="11"/>
      <c r="B202" s="11"/>
      <c r="C202" s="11"/>
      <c r="D202" s="11"/>
      <c r="E202" s="11"/>
      <c r="F202" s="11"/>
      <c r="G202" s="11"/>
      <c r="H202" s="11"/>
      <c r="I202" s="29">
        <v>41153</v>
      </c>
      <c r="J202" s="32">
        <v>30</v>
      </c>
      <c r="K202" s="22" t="s">
        <v>145</v>
      </c>
      <c r="L202" s="22">
        <v>2012</v>
      </c>
      <c r="M202" s="31">
        <v>201</v>
      </c>
      <c r="N202" s="10"/>
      <c r="O202" s="10"/>
      <c r="P202" s="10"/>
    </row>
    <row r="203" spans="1:16" ht="12.75">
      <c r="A203" s="11"/>
      <c r="B203" s="11"/>
      <c r="C203" s="11"/>
      <c r="D203" s="11"/>
      <c r="E203" s="11"/>
      <c r="F203" s="11"/>
      <c r="G203" s="11"/>
      <c r="H203" s="11"/>
      <c r="I203" s="29">
        <v>41183</v>
      </c>
      <c r="J203" s="32">
        <v>31</v>
      </c>
      <c r="K203" s="22" t="s">
        <v>146</v>
      </c>
      <c r="L203" s="22">
        <v>2012</v>
      </c>
      <c r="M203" s="31">
        <v>202</v>
      </c>
      <c r="N203" s="10"/>
      <c r="O203" s="10"/>
      <c r="P203" s="10"/>
    </row>
    <row r="204" spans="1:16" ht="12.75">
      <c r="A204" s="11"/>
      <c r="B204" s="11"/>
      <c r="C204" s="11"/>
      <c r="D204" s="11"/>
      <c r="E204" s="11"/>
      <c r="F204" s="11"/>
      <c r="G204" s="11"/>
      <c r="H204" s="11"/>
      <c r="I204" s="29">
        <v>41214</v>
      </c>
      <c r="J204" s="32">
        <v>30</v>
      </c>
      <c r="K204" s="22" t="s">
        <v>147</v>
      </c>
      <c r="L204" s="22">
        <v>2012</v>
      </c>
      <c r="M204" s="31">
        <v>203</v>
      </c>
      <c r="N204" s="10"/>
      <c r="O204" s="10"/>
      <c r="P204" s="10"/>
    </row>
    <row r="205" spans="1:16" ht="12.75">
      <c r="A205" s="11"/>
      <c r="B205" s="11"/>
      <c r="C205" s="11"/>
      <c r="D205" s="11"/>
      <c r="E205" s="11"/>
      <c r="F205" s="11"/>
      <c r="G205" s="11"/>
      <c r="H205" s="11"/>
      <c r="I205" s="29">
        <v>41244</v>
      </c>
      <c r="J205" s="32">
        <v>31</v>
      </c>
      <c r="K205" s="22" t="s">
        <v>148</v>
      </c>
      <c r="L205" s="22">
        <v>2012</v>
      </c>
      <c r="M205" s="31">
        <v>204</v>
      </c>
      <c r="N205" s="10"/>
      <c r="O205" s="10"/>
      <c r="P205" s="10"/>
    </row>
    <row r="206" spans="1:16" ht="12.75">
      <c r="A206" s="11"/>
      <c r="B206" s="11"/>
      <c r="C206" s="11"/>
      <c r="D206" s="11"/>
      <c r="E206" s="11"/>
      <c r="F206" s="11"/>
      <c r="G206" s="11"/>
      <c r="H206" s="11"/>
      <c r="I206" s="29">
        <v>41275</v>
      </c>
      <c r="J206" s="30">
        <v>31</v>
      </c>
      <c r="K206" s="22" t="s">
        <v>137</v>
      </c>
      <c r="L206" s="22">
        <v>2013</v>
      </c>
      <c r="M206" s="31">
        <v>205</v>
      </c>
      <c r="N206" s="10"/>
      <c r="O206" s="10"/>
      <c r="P206" s="10"/>
    </row>
    <row r="207" spans="1:16" ht="12.75">
      <c r="A207" s="11"/>
      <c r="B207" s="11"/>
      <c r="C207" s="11"/>
      <c r="D207" s="11"/>
      <c r="E207" s="11"/>
      <c r="F207" s="11"/>
      <c r="G207" s="11"/>
      <c r="H207" s="11"/>
      <c r="I207" s="29">
        <v>41306</v>
      </c>
      <c r="J207" s="30">
        <v>28</v>
      </c>
      <c r="K207" s="22" t="s">
        <v>138</v>
      </c>
      <c r="L207" s="22">
        <v>2013</v>
      </c>
      <c r="M207" s="31">
        <v>206</v>
      </c>
      <c r="N207" s="10"/>
      <c r="O207" s="10"/>
      <c r="P207" s="10"/>
    </row>
    <row r="208" spans="1:16" ht="12.75">
      <c r="A208" s="11"/>
      <c r="B208" s="11"/>
      <c r="C208" s="11"/>
      <c r="D208" s="11"/>
      <c r="E208" s="11"/>
      <c r="F208" s="11"/>
      <c r="G208" s="11"/>
      <c r="H208" s="11"/>
      <c r="I208" s="29">
        <v>41334</v>
      </c>
      <c r="J208" s="32">
        <v>31</v>
      </c>
      <c r="K208" s="22" t="s">
        <v>139</v>
      </c>
      <c r="L208" s="22">
        <v>2013</v>
      </c>
      <c r="M208" s="31">
        <v>207</v>
      </c>
      <c r="N208" s="10"/>
      <c r="O208" s="10"/>
      <c r="P208" s="10"/>
    </row>
    <row r="209" spans="1:16" ht="12.75">
      <c r="A209" s="11"/>
      <c r="B209" s="11"/>
      <c r="C209" s="11"/>
      <c r="D209" s="11"/>
      <c r="E209" s="11"/>
      <c r="F209" s="11"/>
      <c r="G209" s="11"/>
      <c r="H209" s="11"/>
      <c r="I209" s="29">
        <v>41365</v>
      </c>
      <c r="J209" s="32">
        <v>30</v>
      </c>
      <c r="K209" s="22" t="s">
        <v>140</v>
      </c>
      <c r="L209" s="22">
        <v>2013</v>
      </c>
      <c r="M209" s="31">
        <v>208</v>
      </c>
      <c r="N209" s="10"/>
      <c r="O209" s="10"/>
      <c r="P209" s="10"/>
    </row>
    <row r="210" spans="1:16" ht="12.75">
      <c r="A210" s="11"/>
      <c r="B210" s="11"/>
      <c r="C210" s="11"/>
      <c r="D210" s="11"/>
      <c r="E210" s="11"/>
      <c r="F210" s="11"/>
      <c r="G210" s="11"/>
      <c r="H210" s="11"/>
      <c r="I210" s="29">
        <v>41395</v>
      </c>
      <c r="J210" s="32">
        <v>31</v>
      </c>
      <c r="K210" s="22" t="s">
        <v>141</v>
      </c>
      <c r="L210" s="22">
        <v>2013</v>
      </c>
      <c r="M210" s="31">
        <v>209</v>
      </c>
      <c r="N210" s="10"/>
      <c r="O210" s="10"/>
      <c r="P210" s="10"/>
    </row>
    <row r="211" spans="1:16" ht="12.75">
      <c r="A211" s="11"/>
      <c r="B211" s="11"/>
      <c r="C211" s="11"/>
      <c r="D211" s="11"/>
      <c r="E211" s="11"/>
      <c r="F211" s="11"/>
      <c r="G211" s="11"/>
      <c r="H211" s="11"/>
      <c r="I211" s="29">
        <v>41426</v>
      </c>
      <c r="J211" s="32">
        <v>30</v>
      </c>
      <c r="K211" s="22" t="s">
        <v>142</v>
      </c>
      <c r="L211" s="22">
        <v>2013</v>
      </c>
      <c r="M211" s="31">
        <v>210</v>
      </c>
      <c r="N211" s="10"/>
      <c r="O211" s="10"/>
      <c r="P211" s="10"/>
    </row>
    <row r="212" spans="1:16" ht="12.75">
      <c r="A212" s="11"/>
      <c r="B212" s="11"/>
      <c r="C212" s="11"/>
      <c r="D212" s="11"/>
      <c r="E212" s="11"/>
      <c r="F212" s="11"/>
      <c r="G212" s="11"/>
      <c r="H212" s="11"/>
      <c r="I212" s="29">
        <v>41456</v>
      </c>
      <c r="J212" s="32">
        <v>31</v>
      </c>
      <c r="K212" s="22" t="s">
        <v>143</v>
      </c>
      <c r="L212" s="22">
        <v>2013</v>
      </c>
      <c r="M212" s="31">
        <v>211</v>
      </c>
      <c r="N212" s="10"/>
      <c r="O212" s="10"/>
      <c r="P212" s="10"/>
    </row>
    <row r="213" spans="1:16" ht="12.75">
      <c r="A213" s="11"/>
      <c r="B213" s="11"/>
      <c r="C213" s="11"/>
      <c r="D213" s="11"/>
      <c r="E213" s="11"/>
      <c r="F213" s="11"/>
      <c r="G213" s="11"/>
      <c r="H213" s="11"/>
      <c r="I213" s="29">
        <v>41487</v>
      </c>
      <c r="J213" s="32">
        <v>31</v>
      </c>
      <c r="K213" s="22" t="s">
        <v>144</v>
      </c>
      <c r="L213" s="22">
        <v>2013</v>
      </c>
      <c r="M213" s="31">
        <v>212</v>
      </c>
      <c r="N213" s="10"/>
      <c r="O213" s="10"/>
      <c r="P213" s="10"/>
    </row>
    <row r="214" spans="1:16" ht="12.75">
      <c r="A214" s="11"/>
      <c r="B214" s="11"/>
      <c r="C214" s="11"/>
      <c r="D214" s="11"/>
      <c r="E214" s="11"/>
      <c r="F214" s="11"/>
      <c r="G214" s="11"/>
      <c r="H214" s="11"/>
      <c r="I214" s="29">
        <v>41518</v>
      </c>
      <c r="J214" s="32">
        <v>30</v>
      </c>
      <c r="K214" s="22" t="s">
        <v>145</v>
      </c>
      <c r="L214" s="22">
        <v>2013</v>
      </c>
      <c r="M214" s="31">
        <v>213</v>
      </c>
      <c r="N214" s="10"/>
      <c r="O214" s="10"/>
      <c r="P214" s="10"/>
    </row>
    <row r="215" spans="1:16" ht="12.75">
      <c r="A215" s="11"/>
      <c r="B215" s="11"/>
      <c r="C215" s="11"/>
      <c r="D215" s="11"/>
      <c r="E215" s="11"/>
      <c r="F215" s="11"/>
      <c r="G215" s="11"/>
      <c r="H215" s="11"/>
      <c r="I215" s="29">
        <v>41548</v>
      </c>
      <c r="J215" s="32">
        <v>31</v>
      </c>
      <c r="K215" s="22" t="s">
        <v>146</v>
      </c>
      <c r="L215" s="22">
        <v>2013</v>
      </c>
      <c r="M215" s="31">
        <v>214</v>
      </c>
      <c r="N215" s="10"/>
      <c r="O215" s="10"/>
      <c r="P215" s="10"/>
    </row>
    <row r="216" spans="1:16" ht="12.75">
      <c r="A216" s="11"/>
      <c r="B216" s="11"/>
      <c r="C216" s="11"/>
      <c r="D216" s="11"/>
      <c r="E216" s="11"/>
      <c r="F216" s="11"/>
      <c r="G216" s="11"/>
      <c r="H216" s="11"/>
      <c r="I216" s="29">
        <v>41579</v>
      </c>
      <c r="J216" s="32">
        <v>30</v>
      </c>
      <c r="K216" s="22" t="s">
        <v>147</v>
      </c>
      <c r="L216" s="22">
        <v>2013</v>
      </c>
      <c r="M216" s="31">
        <v>215</v>
      </c>
      <c r="N216" s="10"/>
      <c r="O216" s="10"/>
      <c r="P216" s="10"/>
    </row>
    <row r="217" spans="1:16" ht="12.75">
      <c r="A217" s="11"/>
      <c r="B217" s="11"/>
      <c r="C217" s="11"/>
      <c r="D217" s="11"/>
      <c r="E217" s="11"/>
      <c r="F217" s="11"/>
      <c r="G217" s="11"/>
      <c r="H217" s="11"/>
      <c r="I217" s="29">
        <v>41609</v>
      </c>
      <c r="J217" s="32">
        <v>31</v>
      </c>
      <c r="K217" s="22" t="s">
        <v>148</v>
      </c>
      <c r="L217" s="22">
        <v>2013</v>
      </c>
      <c r="M217" s="31">
        <v>216</v>
      </c>
      <c r="N217" s="10"/>
      <c r="O217" s="10"/>
      <c r="P217" s="10"/>
    </row>
    <row r="218" spans="1:16" ht="12.75">
      <c r="A218" s="11"/>
      <c r="B218" s="11"/>
      <c r="C218" s="11"/>
      <c r="D218" s="11"/>
      <c r="E218" s="11"/>
      <c r="F218" s="11"/>
      <c r="G218" s="11"/>
      <c r="H218" s="11"/>
      <c r="I218" s="29">
        <v>41640</v>
      </c>
      <c r="J218" s="30">
        <v>31</v>
      </c>
      <c r="K218" s="22" t="s">
        <v>137</v>
      </c>
      <c r="L218" s="22">
        <v>2014</v>
      </c>
      <c r="M218" s="31">
        <v>217</v>
      </c>
      <c r="N218" s="10"/>
      <c r="O218" s="10"/>
      <c r="P218" s="10"/>
    </row>
    <row r="219" spans="1:16" ht="12.75">
      <c r="A219" s="11"/>
      <c r="B219" s="11"/>
      <c r="C219" s="11"/>
      <c r="D219" s="11"/>
      <c r="E219" s="11"/>
      <c r="F219" s="11"/>
      <c r="G219" s="11"/>
      <c r="H219" s="11"/>
      <c r="I219" s="29">
        <v>41671</v>
      </c>
      <c r="J219" s="30">
        <v>28</v>
      </c>
      <c r="K219" s="22" t="s">
        <v>138</v>
      </c>
      <c r="L219" s="22">
        <v>2014</v>
      </c>
      <c r="M219" s="31">
        <v>218</v>
      </c>
      <c r="N219" s="10"/>
      <c r="O219" s="10"/>
      <c r="P219" s="10"/>
    </row>
    <row r="220" spans="1:16" ht="12.75">
      <c r="A220" s="11"/>
      <c r="B220" s="11"/>
      <c r="C220" s="11"/>
      <c r="D220" s="11"/>
      <c r="E220" s="11"/>
      <c r="F220" s="11"/>
      <c r="G220" s="11"/>
      <c r="H220" s="11"/>
      <c r="I220" s="29">
        <v>41699</v>
      </c>
      <c r="J220" s="32">
        <v>31</v>
      </c>
      <c r="K220" s="22" t="s">
        <v>139</v>
      </c>
      <c r="L220" s="22">
        <v>2014</v>
      </c>
      <c r="M220" s="31">
        <v>219</v>
      </c>
      <c r="N220" s="10"/>
      <c r="O220" s="10"/>
      <c r="P220" s="10"/>
    </row>
    <row r="221" spans="1:16" ht="12.75">
      <c r="A221" s="11"/>
      <c r="B221" s="11"/>
      <c r="C221" s="11"/>
      <c r="D221" s="11"/>
      <c r="E221" s="11"/>
      <c r="F221" s="11"/>
      <c r="G221" s="11"/>
      <c r="H221" s="11"/>
      <c r="I221" s="29">
        <v>41730</v>
      </c>
      <c r="J221" s="32">
        <v>30</v>
      </c>
      <c r="K221" s="22" t="s">
        <v>140</v>
      </c>
      <c r="L221" s="22">
        <v>2014</v>
      </c>
      <c r="M221" s="31">
        <v>220</v>
      </c>
      <c r="N221" s="10"/>
      <c r="O221" s="10"/>
      <c r="P221" s="10"/>
    </row>
    <row r="222" spans="1:16" ht="12.75">
      <c r="A222" s="11"/>
      <c r="B222" s="11"/>
      <c r="C222" s="11"/>
      <c r="D222" s="11"/>
      <c r="E222" s="11"/>
      <c r="F222" s="11"/>
      <c r="G222" s="11"/>
      <c r="H222" s="11"/>
      <c r="I222" s="29">
        <v>41760</v>
      </c>
      <c r="J222" s="32">
        <v>31</v>
      </c>
      <c r="K222" s="22" t="s">
        <v>141</v>
      </c>
      <c r="L222" s="22">
        <v>2014</v>
      </c>
      <c r="M222" s="31">
        <v>221</v>
      </c>
      <c r="N222" s="10"/>
      <c r="O222" s="10"/>
      <c r="P222" s="10"/>
    </row>
    <row r="223" spans="1:16" ht="12.75">
      <c r="A223" s="11"/>
      <c r="B223" s="11"/>
      <c r="C223" s="11"/>
      <c r="D223" s="11"/>
      <c r="E223" s="11"/>
      <c r="F223" s="11"/>
      <c r="G223" s="11"/>
      <c r="H223" s="11"/>
      <c r="I223" s="29">
        <v>41791</v>
      </c>
      <c r="J223" s="32">
        <v>30</v>
      </c>
      <c r="K223" s="22" t="s">
        <v>142</v>
      </c>
      <c r="L223" s="22">
        <v>2014</v>
      </c>
      <c r="M223" s="31">
        <v>222</v>
      </c>
      <c r="N223" s="10"/>
      <c r="O223" s="10"/>
      <c r="P223" s="10"/>
    </row>
    <row r="224" spans="1:16" ht="12.75">
      <c r="A224" s="11"/>
      <c r="B224" s="11"/>
      <c r="C224" s="11"/>
      <c r="D224" s="11"/>
      <c r="E224" s="11"/>
      <c r="F224" s="11"/>
      <c r="G224" s="11"/>
      <c r="H224" s="11"/>
      <c r="I224" s="29">
        <v>41821</v>
      </c>
      <c r="J224" s="32">
        <v>31</v>
      </c>
      <c r="K224" s="22" t="s">
        <v>143</v>
      </c>
      <c r="L224" s="22">
        <v>2014</v>
      </c>
      <c r="M224" s="31">
        <v>223</v>
      </c>
      <c r="N224" s="10"/>
      <c r="O224" s="10"/>
      <c r="P224" s="10"/>
    </row>
    <row r="225" spans="1:16" ht="12.75">
      <c r="A225" s="11"/>
      <c r="B225" s="11"/>
      <c r="C225" s="11"/>
      <c r="D225" s="11"/>
      <c r="E225" s="11"/>
      <c r="F225" s="11"/>
      <c r="G225" s="11"/>
      <c r="H225" s="11"/>
      <c r="I225" s="29">
        <v>41852</v>
      </c>
      <c r="J225" s="32">
        <v>31</v>
      </c>
      <c r="K225" s="22" t="s">
        <v>144</v>
      </c>
      <c r="L225" s="22">
        <v>2014</v>
      </c>
      <c r="M225" s="31">
        <v>224</v>
      </c>
      <c r="N225" s="10"/>
      <c r="O225" s="10"/>
      <c r="P225" s="10"/>
    </row>
    <row r="226" spans="1:16" ht="12.75">
      <c r="A226" s="11"/>
      <c r="B226" s="11"/>
      <c r="C226" s="11"/>
      <c r="D226" s="11"/>
      <c r="E226" s="11"/>
      <c r="F226" s="11"/>
      <c r="G226" s="11"/>
      <c r="H226" s="11"/>
      <c r="I226" s="29">
        <v>41883</v>
      </c>
      <c r="J226" s="32">
        <v>30</v>
      </c>
      <c r="K226" s="22" t="s">
        <v>145</v>
      </c>
      <c r="L226" s="22">
        <v>2014</v>
      </c>
      <c r="M226" s="31">
        <v>225</v>
      </c>
      <c r="N226" s="10"/>
      <c r="O226" s="10"/>
      <c r="P226" s="10"/>
    </row>
    <row r="227" spans="1:16" ht="12.75">
      <c r="A227" s="11"/>
      <c r="B227" s="11"/>
      <c r="C227" s="11"/>
      <c r="D227" s="11"/>
      <c r="E227" s="11"/>
      <c r="F227" s="11"/>
      <c r="G227" s="11"/>
      <c r="H227" s="11"/>
      <c r="I227" s="29">
        <v>41913</v>
      </c>
      <c r="J227" s="32">
        <v>31</v>
      </c>
      <c r="K227" s="22" t="s">
        <v>146</v>
      </c>
      <c r="L227" s="22">
        <v>2014</v>
      </c>
      <c r="M227" s="31">
        <v>226</v>
      </c>
      <c r="N227" s="10"/>
      <c r="O227" s="10"/>
      <c r="P227" s="10"/>
    </row>
    <row r="228" spans="1:16" ht="12.75">
      <c r="A228" s="11"/>
      <c r="B228" s="11"/>
      <c r="C228" s="11"/>
      <c r="D228" s="11"/>
      <c r="E228" s="11"/>
      <c r="F228" s="11"/>
      <c r="G228" s="11"/>
      <c r="H228" s="11"/>
      <c r="I228" s="29">
        <v>41944</v>
      </c>
      <c r="J228" s="32">
        <v>30</v>
      </c>
      <c r="K228" s="22" t="s">
        <v>147</v>
      </c>
      <c r="L228" s="22">
        <v>2014</v>
      </c>
      <c r="M228" s="31">
        <v>227</v>
      </c>
      <c r="N228" s="10"/>
      <c r="O228" s="10"/>
      <c r="P228" s="10"/>
    </row>
    <row r="229" spans="1:16" ht="12.75">
      <c r="A229" s="11"/>
      <c r="B229" s="11"/>
      <c r="C229" s="11"/>
      <c r="D229" s="11"/>
      <c r="E229" s="11"/>
      <c r="F229" s="11"/>
      <c r="G229" s="11"/>
      <c r="H229" s="11"/>
      <c r="I229" s="29">
        <v>41974</v>
      </c>
      <c r="J229" s="32">
        <v>31</v>
      </c>
      <c r="K229" s="22" t="s">
        <v>148</v>
      </c>
      <c r="L229" s="22">
        <v>2014</v>
      </c>
      <c r="M229" s="31">
        <v>228</v>
      </c>
      <c r="N229" s="10"/>
      <c r="O229" s="10"/>
      <c r="P229" s="10"/>
    </row>
    <row r="230" spans="1:16" ht="12.75">
      <c r="A230" s="11"/>
      <c r="B230" s="11"/>
      <c r="C230" s="11"/>
      <c r="D230" s="11"/>
      <c r="E230" s="11"/>
      <c r="F230" s="11"/>
      <c r="G230" s="11"/>
      <c r="H230" s="11"/>
      <c r="I230" s="29">
        <v>42005</v>
      </c>
      <c r="J230" s="30">
        <v>31</v>
      </c>
      <c r="K230" s="22" t="s">
        <v>137</v>
      </c>
      <c r="L230" s="22">
        <v>2015</v>
      </c>
      <c r="M230" s="31">
        <v>229</v>
      </c>
      <c r="N230" s="10"/>
      <c r="O230" s="10"/>
      <c r="P230" s="10"/>
    </row>
    <row r="231" spans="1:16" ht="12.75">
      <c r="A231" s="11"/>
      <c r="B231" s="11"/>
      <c r="C231" s="11"/>
      <c r="D231" s="11"/>
      <c r="E231" s="11"/>
      <c r="F231" s="11"/>
      <c r="G231" s="11"/>
      <c r="H231" s="11"/>
      <c r="I231" s="29">
        <v>42036</v>
      </c>
      <c r="J231" s="30">
        <v>28</v>
      </c>
      <c r="K231" s="22" t="s">
        <v>138</v>
      </c>
      <c r="L231" s="22">
        <v>2015</v>
      </c>
      <c r="M231" s="31">
        <v>230</v>
      </c>
      <c r="N231" s="10"/>
      <c r="O231" s="10"/>
      <c r="P231" s="10"/>
    </row>
    <row r="232" spans="1:16" ht="12.75">
      <c r="A232" s="11"/>
      <c r="B232" s="11"/>
      <c r="C232" s="11"/>
      <c r="D232" s="11"/>
      <c r="E232" s="11"/>
      <c r="F232" s="11"/>
      <c r="G232" s="11"/>
      <c r="H232" s="11"/>
      <c r="I232" s="29">
        <v>42064</v>
      </c>
      <c r="J232" s="32">
        <v>31</v>
      </c>
      <c r="K232" s="22" t="s">
        <v>139</v>
      </c>
      <c r="L232" s="22">
        <v>2015</v>
      </c>
      <c r="M232" s="31">
        <v>231</v>
      </c>
      <c r="N232" s="10"/>
      <c r="O232" s="10"/>
      <c r="P232" s="10"/>
    </row>
    <row r="233" spans="1:16" ht="12.75">
      <c r="A233" s="11"/>
      <c r="B233" s="11"/>
      <c r="C233" s="11"/>
      <c r="D233" s="11"/>
      <c r="E233" s="11"/>
      <c r="F233" s="11"/>
      <c r="G233" s="11"/>
      <c r="H233" s="11"/>
      <c r="I233" s="29">
        <v>42095</v>
      </c>
      <c r="J233" s="32">
        <v>30</v>
      </c>
      <c r="K233" s="22" t="s">
        <v>140</v>
      </c>
      <c r="L233" s="22">
        <v>2015</v>
      </c>
      <c r="M233" s="31">
        <v>232</v>
      </c>
      <c r="N233" s="10"/>
      <c r="O233" s="10"/>
      <c r="P233" s="10"/>
    </row>
    <row r="234" spans="1:16" ht="12.75">
      <c r="A234" s="11"/>
      <c r="B234" s="11"/>
      <c r="C234" s="11"/>
      <c r="D234" s="11"/>
      <c r="E234" s="11"/>
      <c r="F234" s="11"/>
      <c r="G234" s="11"/>
      <c r="H234" s="11"/>
      <c r="I234" s="29">
        <v>42125</v>
      </c>
      <c r="J234" s="32">
        <v>31</v>
      </c>
      <c r="K234" s="22" t="s">
        <v>141</v>
      </c>
      <c r="L234" s="22">
        <v>2015</v>
      </c>
      <c r="M234" s="31">
        <v>233</v>
      </c>
      <c r="N234" s="10"/>
      <c r="O234" s="10"/>
      <c r="P234" s="10"/>
    </row>
    <row r="235" spans="1:16" ht="12.75">
      <c r="A235" s="11"/>
      <c r="B235" s="11"/>
      <c r="C235" s="11"/>
      <c r="D235" s="11"/>
      <c r="E235" s="11"/>
      <c r="F235" s="11"/>
      <c r="G235" s="11"/>
      <c r="H235" s="11"/>
      <c r="I235" s="29">
        <v>42156</v>
      </c>
      <c r="J235" s="32">
        <v>30</v>
      </c>
      <c r="K235" s="22" t="s">
        <v>142</v>
      </c>
      <c r="L235" s="22">
        <v>2015</v>
      </c>
      <c r="M235" s="31">
        <v>234</v>
      </c>
      <c r="N235" s="10"/>
      <c r="O235" s="10"/>
      <c r="P235" s="10"/>
    </row>
    <row r="236" spans="1:16" ht="12.75">
      <c r="A236" s="11"/>
      <c r="B236" s="11"/>
      <c r="C236" s="11"/>
      <c r="D236" s="11"/>
      <c r="E236" s="11"/>
      <c r="F236" s="11"/>
      <c r="G236" s="11"/>
      <c r="H236" s="11"/>
      <c r="I236" s="29">
        <v>42186</v>
      </c>
      <c r="J236" s="32">
        <v>31</v>
      </c>
      <c r="K236" s="22" t="s">
        <v>143</v>
      </c>
      <c r="L236" s="22">
        <v>2015</v>
      </c>
      <c r="M236" s="31">
        <v>235</v>
      </c>
      <c r="N236" s="10"/>
      <c r="O236" s="10"/>
      <c r="P236" s="10"/>
    </row>
    <row r="237" spans="1:16" ht="12.75">
      <c r="A237" s="11"/>
      <c r="B237" s="11"/>
      <c r="C237" s="11"/>
      <c r="D237" s="11"/>
      <c r="E237" s="11"/>
      <c r="F237" s="11"/>
      <c r="G237" s="11"/>
      <c r="H237" s="11"/>
      <c r="I237" s="29">
        <v>42217</v>
      </c>
      <c r="J237" s="32">
        <v>31</v>
      </c>
      <c r="K237" s="22" t="s">
        <v>144</v>
      </c>
      <c r="L237" s="22">
        <v>2015</v>
      </c>
      <c r="M237" s="31">
        <v>236</v>
      </c>
      <c r="N237" s="10"/>
      <c r="O237" s="10"/>
      <c r="P237" s="10"/>
    </row>
    <row r="238" spans="1:16" ht="12.75">
      <c r="A238" s="11"/>
      <c r="B238" s="11"/>
      <c r="C238" s="11"/>
      <c r="D238" s="11"/>
      <c r="E238" s="11"/>
      <c r="F238" s="11"/>
      <c r="G238" s="11"/>
      <c r="H238" s="11"/>
      <c r="I238" s="29">
        <v>42248</v>
      </c>
      <c r="J238" s="32">
        <v>30</v>
      </c>
      <c r="K238" s="22" t="s">
        <v>145</v>
      </c>
      <c r="L238" s="22">
        <v>2015</v>
      </c>
      <c r="M238" s="31">
        <v>237</v>
      </c>
      <c r="N238" s="10"/>
      <c r="O238" s="10"/>
      <c r="P238" s="10"/>
    </row>
    <row r="239" spans="1:16" ht="12.75">
      <c r="A239" s="11"/>
      <c r="B239" s="11"/>
      <c r="C239" s="11"/>
      <c r="D239" s="11"/>
      <c r="E239" s="11"/>
      <c r="F239" s="11"/>
      <c r="G239" s="11"/>
      <c r="H239" s="11"/>
      <c r="I239" s="29">
        <v>42278</v>
      </c>
      <c r="J239" s="32">
        <v>31</v>
      </c>
      <c r="K239" s="22" t="s">
        <v>146</v>
      </c>
      <c r="L239" s="22">
        <v>2015</v>
      </c>
      <c r="M239" s="31">
        <v>238</v>
      </c>
      <c r="N239" s="10"/>
      <c r="O239" s="10"/>
      <c r="P239" s="10"/>
    </row>
    <row r="240" spans="1:16" ht="12.75">
      <c r="A240" s="11"/>
      <c r="B240" s="11"/>
      <c r="C240" s="11"/>
      <c r="D240" s="11"/>
      <c r="E240" s="11"/>
      <c r="F240" s="11"/>
      <c r="G240" s="11"/>
      <c r="H240" s="11"/>
      <c r="I240" s="29">
        <v>42309</v>
      </c>
      <c r="J240" s="32">
        <v>30</v>
      </c>
      <c r="K240" s="22" t="s">
        <v>147</v>
      </c>
      <c r="L240" s="22">
        <v>2015</v>
      </c>
      <c r="M240" s="31">
        <v>239</v>
      </c>
      <c r="N240" s="10"/>
      <c r="O240" s="10"/>
      <c r="P240" s="10"/>
    </row>
    <row r="241" spans="1:16" ht="12.75">
      <c r="A241" s="11"/>
      <c r="B241" s="11"/>
      <c r="C241" s="11"/>
      <c r="D241" s="11"/>
      <c r="E241" s="11"/>
      <c r="F241" s="11"/>
      <c r="G241" s="11"/>
      <c r="H241" s="11"/>
      <c r="I241" s="29">
        <v>42339</v>
      </c>
      <c r="J241" s="32">
        <v>31</v>
      </c>
      <c r="K241" s="22" t="s">
        <v>148</v>
      </c>
      <c r="L241" s="22">
        <v>2015</v>
      </c>
      <c r="M241" s="31">
        <v>240</v>
      </c>
      <c r="N241" s="10"/>
      <c r="O241" s="10"/>
      <c r="P241" s="10"/>
    </row>
    <row r="242" spans="1:16" ht="12.75">
      <c r="A242" s="11"/>
      <c r="B242" s="11"/>
      <c r="C242" s="11"/>
      <c r="D242" s="11"/>
      <c r="E242" s="11"/>
      <c r="F242" s="11"/>
      <c r="G242" s="11"/>
      <c r="H242" s="11"/>
      <c r="I242" s="29">
        <v>42370</v>
      </c>
      <c r="J242" s="30">
        <v>31</v>
      </c>
      <c r="K242" s="22" t="s">
        <v>137</v>
      </c>
      <c r="L242" s="22">
        <v>2016</v>
      </c>
      <c r="M242" s="31">
        <v>241</v>
      </c>
      <c r="N242" s="10"/>
      <c r="O242" s="10"/>
      <c r="P242" s="10"/>
    </row>
    <row r="243" spans="1:16" ht="12.75">
      <c r="A243" s="11"/>
      <c r="B243" s="11"/>
      <c r="C243" s="11"/>
      <c r="D243" s="11"/>
      <c r="E243" s="11"/>
      <c r="F243" s="11"/>
      <c r="G243" s="11"/>
      <c r="H243" s="11"/>
      <c r="I243" s="29">
        <v>42401</v>
      </c>
      <c r="J243" s="30">
        <v>29</v>
      </c>
      <c r="K243" s="22" t="s">
        <v>138</v>
      </c>
      <c r="L243" s="22">
        <v>2016</v>
      </c>
      <c r="M243" s="31">
        <v>242</v>
      </c>
      <c r="N243" s="10"/>
      <c r="O243" s="10"/>
      <c r="P243" s="10"/>
    </row>
    <row r="244" spans="1:16" ht="12.75">
      <c r="A244" s="11"/>
      <c r="B244" s="11"/>
      <c r="C244" s="11"/>
      <c r="D244" s="11"/>
      <c r="E244" s="11"/>
      <c r="F244" s="11"/>
      <c r="G244" s="11"/>
      <c r="H244" s="11"/>
      <c r="I244" s="29">
        <v>42430</v>
      </c>
      <c r="J244" s="32">
        <v>31</v>
      </c>
      <c r="K244" s="22" t="s">
        <v>139</v>
      </c>
      <c r="L244" s="22">
        <v>2016</v>
      </c>
      <c r="M244" s="31">
        <v>243</v>
      </c>
      <c r="N244" s="10"/>
      <c r="O244" s="10"/>
      <c r="P244" s="10"/>
    </row>
    <row r="245" spans="1:16" ht="12.75">
      <c r="A245" s="11"/>
      <c r="B245" s="11"/>
      <c r="C245" s="11"/>
      <c r="D245" s="11"/>
      <c r="E245" s="11"/>
      <c r="F245" s="11"/>
      <c r="G245" s="11"/>
      <c r="H245" s="11"/>
      <c r="I245" s="29">
        <v>42461</v>
      </c>
      <c r="J245" s="32">
        <v>30</v>
      </c>
      <c r="K245" s="22" t="s">
        <v>140</v>
      </c>
      <c r="L245" s="22">
        <v>2016</v>
      </c>
      <c r="M245" s="31">
        <v>244</v>
      </c>
      <c r="N245" s="10"/>
      <c r="O245" s="10"/>
      <c r="P245" s="10"/>
    </row>
    <row r="246" spans="1:16" ht="12.75">
      <c r="A246" s="11"/>
      <c r="B246" s="11"/>
      <c r="C246" s="11"/>
      <c r="D246" s="11"/>
      <c r="E246" s="11"/>
      <c r="F246" s="11"/>
      <c r="G246" s="11"/>
      <c r="H246" s="11"/>
      <c r="I246" s="29">
        <v>42491</v>
      </c>
      <c r="J246" s="32">
        <v>31</v>
      </c>
      <c r="K246" s="22" t="s">
        <v>141</v>
      </c>
      <c r="L246" s="22">
        <v>2016</v>
      </c>
      <c r="M246" s="31">
        <v>245</v>
      </c>
      <c r="N246" s="10"/>
      <c r="O246" s="10"/>
      <c r="P246" s="10"/>
    </row>
    <row r="247" spans="1:16" ht="12.75">
      <c r="A247" s="11"/>
      <c r="B247" s="11"/>
      <c r="C247" s="11"/>
      <c r="D247" s="11"/>
      <c r="E247" s="11"/>
      <c r="F247" s="11"/>
      <c r="G247" s="11"/>
      <c r="H247" s="11"/>
      <c r="I247" s="29">
        <v>42522</v>
      </c>
      <c r="J247" s="32">
        <v>30</v>
      </c>
      <c r="K247" s="22" t="s">
        <v>142</v>
      </c>
      <c r="L247" s="22">
        <v>2016</v>
      </c>
      <c r="M247" s="31">
        <v>246</v>
      </c>
      <c r="N247" s="10"/>
      <c r="O247" s="10"/>
      <c r="P247" s="10"/>
    </row>
    <row r="248" spans="1:16" ht="12.75">
      <c r="A248" s="11"/>
      <c r="B248" s="11"/>
      <c r="C248" s="11"/>
      <c r="D248" s="11"/>
      <c r="E248" s="11"/>
      <c r="F248" s="11"/>
      <c r="G248" s="11"/>
      <c r="H248" s="11"/>
      <c r="I248" s="29">
        <v>42552</v>
      </c>
      <c r="J248" s="32">
        <v>31</v>
      </c>
      <c r="K248" s="22" t="s">
        <v>143</v>
      </c>
      <c r="L248" s="22">
        <v>2016</v>
      </c>
      <c r="M248" s="31">
        <v>247</v>
      </c>
      <c r="N248" s="10"/>
      <c r="O248" s="10"/>
      <c r="P248" s="10"/>
    </row>
    <row r="249" spans="1:16" ht="12.75">
      <c r="A249" s="11"/>
      <c r="B249" s="11"/>
      <c r="C249" s="11"/>
      <c r="D249" s="11"/>
      <c r="E249" s="11"/>
      <c r="F249" s="11"/>
      <c r="G249" s="11"/>
      <c r="H249" s="11"/>
      <c r="I249" s="29">
        <v>42583</v>
      </c>
      <c r="J249" s="32">
        <v>31</v>
      </c>
      <c r="K249" s="22" t="s">
        <v>144</v>
      </c>
      <c r="L249" s="22">
        <v>2016</v>
      </c>
      <c r="M249" s="31">
        <v>248</v>
      </c>
      <c r="N249" s="10"/>
      <c r="O249" s="10"/>
      <c r="P249" s="10"/>
    </row>
    <row r="250" spans="1:16" ht="12.75">
      <c r="A250" s="11"/>
      <c r="B250" s="11"/>
      <c r="C250" s="11"/>
      <c r="D250" s="11"/>
      <c r="E250" s="11"/>
      <c r="F250" s="11"/>
      <c r="G250" s="11"/>
      <c r="H250" s="11"/>
      <c r="I250" s="29">
        <v>42614</v>
      </c>
      <c r="J250" s="32">
        <v>30</v>
      </c>
      <c r="K250" s="22" t="s">
        <v>145</v>
      </c>
      <c r="L250" s="22">
        <v>2016</v>
      </c>
      <c r="M250" s="31">
        <v>249</v>
      </c>
      <c r="N250" s="10"/>
      <c r="O250" s="10"/>
      <c r="P250" s="10"/>
    </row>
    <row r="251" spans="1:16" ht="12.75">
      <c r="A251" s="11"/>
      <c r="B251" s="11"/>
      <c r="C251" s="11"/>
      <c r="D251" s="11"/>
      <c r="E251" s="11"/>
      <c r="F251" s="11"/>
      <c r="G251" s="11"/>
      <c r="H251" s="11"/>
      <c r="I251" s="29">
        <v>42644</v>
      </c>
      <c r="J251" s="32">
        <v>31</v>
      </c>
      <c r="K251" s="22" t="s">
        <v>146</v>
      </c>
      <c r="L251" s="22">
        <v>2016</v>
      </c>
      <c r="M251" s="31">
        <v>250</v>
      </c>
      <c r="N251" s="10"/>
      <c r="O251" s="10"/>
      <c r="P251" s="10"/>
    </row>
    <row r="252" spans="1:16" ht="12.75">
      <c r="A252" s="11"/>
      <c r="B252" s="11"/>
      <c r="C252" s="11"/>
      <c r="D252" s="11"/>
      <c r="E252" s="11"/>
      <c r="F252" s="11"/>
      <c r="G252" s="11"/>
      <c r="H252" s="11"/>
      <c r="I252" s="29">
        <v>42675</v>
      </c>
      <c r="J252" s="32">
        <v>30</v>
      </c>
      <c r="K252" s="22" t="s">
        <v>147</v>
      </c>
      <c r="L252" s="22">
        <v>2016</v>
      </c>
      <c r="M252" s="31">
        <v>251</v>
      </c>
      <c r="N252" s="10"/>
      <c r="O252" s="10"/>
      <c r="P252" s="10"/>
    </row>
    <row r="253" spans="1:16" ht="12.75">
      <c r="A253" s="11"/>
      <c r="B253" s="11"/>
      <c r="C253" s="11"/>
      <c r="D253" s="11"/>
      <c r="E253" s="11"/>
      <c r="F253" s="11"/>
      <c r="G253" s="11"/>
      <c r="H253" s="11"/>
      <c r="I253" s="29">
        <v>42705</v>
      </c>
      <c r="J253" s="32">
        <v>31</v>
      </c>
      <c r="K253" s="22" t="s">
        <v>148</v>
      </c>
      <c r="L253" s="22">
        <v>2016</v>
      </c>
      <c r="M253" s="31">
        <v>252</v>
      </c>
      <c r="N253" s="10"/>
      <c r="O253" s="10"/>
      <c r="P253" s="10"/>
    </row>
    <row r="254" spans="1:16" ht="12.75">
      <c r="A254" s="11"/>
      <c r="B254" s="11"/>
      <c r="C254" s="11"/>
      <c r="D254" s="11"/>
      <c r="E254" s="11"/>
      <c r="F254" s="11"/>
      <c r="G254" s="11"/>
      <c r="H254" s="11"/>
      <c r="I254" s="29">
        <v>42736</v>
      </c>
      <c r="J254" s="30">
        <v>31</v>
      </c>
      <c r="K254" s="22" t="s">
        <v>137</v>
      </c>
      <c r="L254" s="22">
        <v>2017</v>
      </c>
      <c r="M254" s="31">
        <f>+M253+1</f>
        <v>253</v>
      </c>
      <c r="N254" s="10"/>
      <c r="O254" s="10"/>
      <c r="P254" s="10"/>
    </row>
    <row r="255" spans="9:13" ht="12.75">
      <c r="I255" s="29">
        <v>42767</v>
      </c>
      <c r="J255" s="30">
        <v>28</v>
      </c>
      <c r="K255" s="22" t="s">
        <v>138</v>
      </c>
      <c r="L255" s="22">
        <v>2017</v>
      </c>
      <c r="M255" s="31">
        <f aca="true" t="shared" si="1" ref="M255:M313">+M254+1</f>
        <v>254</v>
      </c>
    </row>
    <row r="256" spans="9:13" ht="12.75">
      <c r="I256" s="29">
        <v>42795</v>
      </c>
      <c r="J256" s="32">
        <v>31</v>
      </c>
      <c r="K256" s="22" t="s">
        <v>139</v>
      </c>
      <c r="L256" s="22">
        <v>2017</v>
      </c>
      <c r="M256" s="31">
        <f t="shared" si="1"/>
        <v>255</v>
      </c>
    </row>
    <row r="257" spans="9:13" ht="12.75">
      <c r="I257" s="29">
        <v>42826</v>
      </c>
      <c r="J257" s="32">
        <v>30</v>
      </c>
      <c r="K257" s="22" t="s">
        <v>140</v>
      </c>
      <c r="L257" s="22">
        <v>2017</v>
      </c>
      <c r="M257" s="31">
        <f t="shared" si="1"/>
        <v>256</v>
      </c>
    </row>
    <row r="258" spans="9:13" ht="12.75">
      <c r="I258" s="29">
        <v>42856</v>
      </c>
      <c r="J258" s="32">
        <v>31</v>
      </c>
      <c r="K258" s="22" t="s">
        <v>141</v>
      </c>
      <c r="L258" s="22">
        <v>2017</v>
      </c>
      <c r="M258" s="31">
        <f t="shared" si="1"/>
        <v>257</v>
      </c>
    </row>
    <row r="259" spans="9:13" ht="12.75">
      <c r="I259" s="29">
        <v>42887</v>
      </c>
      <c r="J259" s="32">
        <v>30</v>
      </c>
      <c r="K259" s="22" t="s">
        <v>142</v>
      </c>
      <c r="L259" s="22">
        <v>2017</v>
      </c>
      <c r="M259" s="31">
        <f t="shared" si="1"/>
        <v>258</v>
      </c>
    </row>
    <row r="260" spans="9:13" ht="12.75">
      <c r="I260" s="29">
        <v>42917</v>
      </c>
      <c r="J260" s="32">
        <v>31</v>
      </c>
      <c r="K260" s="22" t="s">
        <v>143</v>
      </c>
      <c r="L260" s="22">
        <v>2017</v>
      </c>
      <c r="M260" s="31">
        <f t="shared" si="1"/>
        <v>259</v>
      </c>
    </row>
    <row r="261" spans="9:13" ht="12.75">
      <c r="I261" s="29">
        <v>42948</v>
      </c>
      <c r="J261" s="32">
        <v>31</v>
      </c>
      <c r="K261" s="22" t="s">
        <v>144</v>
      </c>
      <c r="L261" s="22">
        <v>2017</v>
      </c>
      <c r="M261" s="31">
        <f t="shared" si="1"/>
        <v>260</v>
      </c>
    </row>
    <row r="262" spans="9:13" ht="12.75">
      <c r="I262" s="29">
        <v>42979</v>
      </c>
      <c r="J262" s="32">
        <v>30</v>
      </c>
      <c r="K262" s="22" t="s">
        <v>145</v>
      </c>
      <c r="L262" s="22">
        <v>2017</v>
      </c>
      <c r="M262" s="31">
        <f t="shared" si="1"/>
        <v>261</v>
      </c>
    </row>
    <row r="263" spans="9:13" ht="12.75">
      <c r="I263" s="29">
        <v>43009</v>
      </c>
      <c r="J263" s="32">
        <v>31</v>
      </c>
      <c r="K263" s="22" t="s">
        <v>146</v>
      </c>
      <c r="L263" s="22">
        <v>2017</v>
      </c>
      <c r="M263" s="31">
        <f t="shared" si="1"/>
        <v>262</v>
      </c>
    </row>
    <row r="264" spans="9:13" ht="12.75">
      <c r="I264" s="29">
        <v>43040</v>
      </c>
      <c r="J264" s="32">
        <v>30</v>
      </c>
      <c r="K264" s="22" t="s">
        <v>147</v>
      </c>
      <c r="L264" s="22">
        <v>2017</v>
      </c>
      <c r="M264" s="31">
        <f t="shared" si="1"/>
        <v>263</v>
      </c>
    </row>
    <row r="265" spans="9:13" ht="12.75">
      <c r="I265" s="29">
        <v>43070</v>
      </c>
      <c r="J265" s="32">
        <v>31</v>
      </c>
      <c r="K265" s="22" t="s">
        <v>148</v>
      </c>
      <c r="L265" s="22">
        <v>2017</v>
      </c>
      <c r="M265" s="31">
        <f t="shared" si="1"/>
        <v>264</v>
      </c>
    </row>
    <row r="266" spans="9:13" ht="12.75">
      <c r="I266" s="29">
        <v>43101</v>
      </c>
      <c r="J266" s="30">
        <v>31</v>
      </c>
      <c r="K266" s="22" t="s">
        <v>137</v>
      </c>
      <c r="L266" s="22">
        <v>2018</v>
      </c>
      <c r="M266" s="31">
        <f t="shared" si="1"/>
        <v>265</v>
      </c>
    </row>
    <row r="267" spans="9:13" ht="12.75">
      <c r="I267" s="29">
        <v>43132</v>
      </c>
      <c r="J267" s="30">
        <v>28</v>
      </c>
      <c r="K267" s="22" t="s">
        <v>138</v>
      </c>
      <c r="L267" s="22">
        <v>2018</v>
      </c>
      <c r="M267" s="31">
        <f t="shared" si="1"/>
        <v>266</v>
      </c>
    </row>
    <row r="268" spans="9:13" ht="12.75">
      <c r="I268" s="29">
        <v>43160</v>
      </c>
      <c r="J268" s="32">
        <v>31</v>
      </c>
      <c r="K268" s="22" t="s">
        <v>139</v>
      </c>
      <c r="L268" s="22">
        <v>2018</v>
      </c>
      <c r="M268" s="31">
        <f t="shared" si="1"/>
        <v>267</v>
      </c>
    </row>
    <row r="269" spans="9:13" ht="12.75">
      <c r="I269" s="29">
        <v>43191</v>
      </c>
      <c r="J269" s="32">
        <v>30</v>
      </c>
      <c r="K269" s="22" t="s">
        <v>140</v>
      </c>
      <c r="L269" s="22">
        <v>2018</v>
      </c>
      <c r="M269" s="31">
        <f t="shared" si="1"/>
        <v>268</v>
      </c>
    </row>
    <row r="270" spans="9:13" ht="12.75">
      <c r="I270" s="29">
        <v>43221</v>
      </c>
      <c r="J270" s="32">
        <v>31</v>
      </c>
      <c r="K270" s="22" t="s">
        <v>141</v>
      </c>
      <c r="L270" s="22">
        <v>2018</v>
      </c>
      <c r="M270" s="31">
        <f t="shared" si="1"/>
        <v>269</v>
      </c>
    </row>
    <row r="271" spans="9:13" ht="12.75">
      <c r="I271" s="29">
        <v>43252</v>
      </c>
      <c r="J271" s="32">
        <v>30</v>
      </c>
      <c r="K271" s="22" t="s">
        <v>142</v>
      </c>
      <c r="L271" s="22">
        <v>2018</v>
      </c>
      <c r="M271" s="31">
        <f t="shared" si="1"/>
        <v>270</v>
      </c>
    </row>
    <row r="272" spans="9:13" ht="12.75">
      <c r="I272" s="29">
        <v>43282</v>
      </c>
      <c r="J272" s="32">
        <v>31</v>
      </c>
      <c r="K272" s="22" t="s">
        <v>143</v>
      </c>
      <c r="L272" s="22">
        <v>2018</v>
      </c>
      <c r="M272" s="31">
        <f t="shared" si="1"/>
        <v>271</v>
      </c>
    </row>
    <row r="273" spans="9:13" ht="12.75">
      <c r="I273" s="29">
        <v>43313</v>
      </c>
      <c r="J273" s="32">
        <v>31</v>
      </c>
      <c r="K273" s="22" t="s">
        <v>144</v>
      </c>
      <c r="L273" s="22">
        <v>2018</v>
      </c>
      <c r="M273" s="31">
        <f t="shared" si="1"/>
        <v>272</v>
      </c>
    </row>
    <row r="274" spans="9:13" ht="12.75">
      <c r="I274" s="29">
        <v>43344</v>
      </c>
      <c r="J274" s="32">
        <v>30</v>
      </c>
      <c r="K274" s="22" t="s">
        <v>145</v>
      </c>
      <c r="L274" s="22">
        <v>2018</v>
      </c>
      <c r="M274" s="31">
        <f t="shared" si="1"/>
        <v>273</v>
      </c>
    </row>
    <row r="275" spans="9:13" ht="12.75">
      <c r="I275" s="29">
        <v>43374</v>
      </c>
      <c r="J275" s="32">
        <v>31</v>
      </c>
      <c r="K275" s="22" t="s">
        <v>146</v>
      </c>
      <c r="L275" s="22">
        <v>2018</v>
      </c>
      <c r="M275" s="31">
        <f t="shared" si="1"/>
        <v>274</v>
      </c>
    </row>
    <row r="276" spans="9:13" ht="12.75">
      <c r="I276" s="29">
        <v>43405</v>
      </c>
      <c r="J276" s="32">
        <v>30</v>
      </c>
      <c r="K276" s="22" t="s">
        <v>147</v>
      </c>
      <c r="L276" s="22">
        <v>2018</v>
      </c>
      <c r="M276" s="31">
        <f t="shared" si="1"/>
        <v>275</v>
      </c>
    </row>
    <row r="277" spans="9:13" ht="12.75">
      <c r="I277" s="29">
        <v>43435</v>
      </c>
      <c r="J277" s="32">
        <v>31</v>
      </c>
      <c r="K277" s="22" t="s">
        <v>148</v>
      </c>
      <c r="L277" s="22">
        <v>2018</v>
      </c>
      <c r="M277" s="31">
        <f t="shared" si="1"/>
        <v>276</v>
      </c>
    </row>
    <row r="278" spans="9:13" ht="12.75">
      <c r="I278" s="29">
        <v>43466</v>
      </c>
      <c r="J278" s="30">
        <v>31</v>
      </c>
      <c r="K278" s="22" t="s">
        <v>137</v>
      </c>
      <c r="L278" s="22">
        <v>2019</v>
      </c>
      <c r="M278" s="31">
        <f t="shared" si="1"/>
        <v>277</v>
      </c>
    </row>
    <row r="279" spans="9:13" ht="12.75">
      <c r="I279" s="29">
        <v>43497</v>
      </c>
      <c r="J279" s="30">
        <v>28</v>
      </c>
      <c r="K279" s="22" t="s">
        <v>138</v>
      </c>
      <c r="L279" s="22">
        <v>2019</v>
      </c>
      <c r="M279" s="31">
        <f t="shared" si="1"/>
        <v>278</v>
      </c>
    </row>
    <row r="280" spans="9:13" ht="12.75">
      <c r="I280" s="29">
        <v>43525</v>
      </c>
      <c r="J280" s="32">
        <v>31</v>
      </c>
      <c r="K280" s="22" t="s">
        <v>139</v>
      </c>
      <c r="L280" s="22">
        <v>2019</v>
      </c>
      <c r="M280" s="31">
        <f t="shared" si="1"/>
        <v>279</v>
      </c>
    </row>
    <row r="281" spans="9:13" ht="12.75">
      <c r="I281" s="29">
        <v>43556</v>
      </c>
      <c r="J281" s="32">
        <v>30</v>
      </c>
      <c r="K281" s="22" t="s">
        <v>140</v>
      </c>
      <c r="L281" s="22">
        <v>2019</v>
      </c>
      <c r="M281" s="31">
        <f t="shared" si="1"/>
        <v>280</v>
      </c>
    </row>
    <row r="282" spans="9:13" ht="12.75">
      <c r="I282" s="29">
        <v>43586</v>
      </c>
      <c r="J282" s="32">
        <v>31</v>
      </c>
      <c r="K282" s="22" t="s">
        <v>141</v>
      </c>
      <c r="L282" s="22">
        <v>2019</v>
      </c>
      <c r="M282" s="31">
        <f t="shared" si="1"/>
        <v>281</v>
      </c>
    </row>
    <row r="283" spans="9:13" ht="12.75">
      <c r="I283" s="29">
        <v>43617</v>
      </c>
      <c r="J283" s="32">
        <v>30</v>
      </c>
      <c r="K283" s="22" t="s">
        <v>142</v>
      </c>
      <c r="L283" s="22">
        <v>2019</v>
      </c>
      <c r="M283" s="31">
        <f t="shared" si="1"/>
        <v>282</v>
      </c>
    </row>
    <row r="284" spans="9:13" ht="12.75">
      <c r="I284" s="29">
        <v>43647</v>
      </c>
      <c r="J284" s="32">
        <v>31</v>
      </c>
      <c r="K284" s="22" t="s">
        <v>143</v>
      </c>
      <c r="L284" s="22">
        <v>2019</v>
      </c>
      <c r="M284" s="31">
        <f t="shared" si="1"/>
        <v>283</v>
      </c>
    </row>
    <row r="285" spans="9:13" ht="12.75">
      <c r="I285" s="29">
        <v>43678</v>
      </c>
      <c r="J285" s="32">
        <v>31</v>
      </c>
      <c r="K285" s="22" t="s">
        <v>144</v>
      </c>
      <c r="L285" s="22">
        <v>2019</v>
      </c>
      <c r="M285" s="31">
        <f t="shared" si="1"/>
        <v>284</v>
      </c>
    </row>
    <row r="286" spans="9:13" ht="12.75">
      <c r="I286" s="29">
        <v>43709</v>
      </c>
      <c r="J286" s="32">
        <v>30</v>
      </c>
      <c r="K286" s="22" t="s">
        <v>145</v>
      </c>
      <c r="L286" s="22">
        <v>2019</v>
      </c>
      <c r="M286" s="31">
        <f t="shared" si="1"/>
        <v>285</v>
      </c>
    </row>
    <row r="287" spans="9:13" ht="12.75">
      <c r="I287" s="29">
        <v>43739</v>
      </c>
      <c r="J287" s="32">
        <v>31</v>
      </c>
      <c r="K287" s="22" t="s">
        <v>146</v>
      </c>
      <c r="L287" s="22">
        <v>2019</v>
      </c>
      <c r="M287" s="31">
        <f t="shared" si="1"/>
        <v>286</v>
      </c>
    </row>
    <row r="288" spans="9:13" ht="12.75">
      <c r="I288" s="29">
        <v>43770</v>
      </c>
      <c r="J288" s="32">
        <v>30</v>
      </c>
      <c r="K288" s="22" t="s">
        <v>147</v>
      </c>
      <c r="L288" s="22">
        <v>2019</v>
      </c>
      <c r="M288" s="31">
        <f t="shared" si="1"/>
        <v>287</v>
      </c>
    </row>
    <row r="289" spans="9:13" ht="12.75">
      <c r="I289" s="29">
        <v>43800</v>
      </c>
      <c r="J289" s="32">
        <v>31</v>
      </c>
      <c r="K289" s="22" t="s">
        <v>148</v>
      </c>
      <c r="L289" s="22">
        <v>2019</v>
      </c>
      <c r="M289" s="31">
        <f t="shared" si="1"/>
        <v>288</v>
      </c>
    </row>
    <row r="290" spans="9:13" ht="12.75">
      <c r="I290" s="29">
        <v>43831</v>
      </c>
      <c r="J290" s="30">
        <v>31</v>
      </c>
      <c r="K290" s="22" t="s">
        <v>137</v>
      </c>
      <c r="L290" s="22">
        <v>2020</v>
      </c>
      <c r="M290" s="31">
        <f t="shared" si="1"/>
        <v>289</v>
      </c>
    </row>
    <row r="291" spans="9:13" ht="12.75">
      <c r="I291" s="29">
        <v>43862</v>
      </c>
      <c r="J291" s="30">
        <v>29</v>
      </c>
      <c r="K291" s="22" t="s">
        <v>138</v>
      </c>
      <c r="L291" s="22">
        <v>2020</v>
      </c>
      <c r="M291" s="31">
        <f t="shared" si="1"/>
        <v>290</v>
      </c>
    </row>
    <row r="292" spans="9:13" ht="12.75">
      <c r="I292" s="29">
        <v>43891</v>
      </c>
      <c r="J292" s="32">
        <v>31</v>
      </c>
      <c r="K292" s="22" t="s">
        <v>139</v>
      </c>
      <c r="L292" s="22">
        <v>2020</v>
      </c>
      <c r="M292" s="31">
        <f t="shared" si="1"/>
        <v>291</v>
      </c>
    </row>
    <row r="293" spans="9:13" ht="12.75">
      <c r="I293" s="29">
        <v>43922</v>
      </c>
      <c r="J293" s="32">
        <v>30</v>
      </c>
      <c r="K293" s="22" t="s">
        <v>140</v>
      </c>
      <c r="L293" s="22">
        <v>2020</v>
      </c>
      <c r="M293" s="31">
        <f t="shared" si="1"/>
        <v>292</v>
      </c>
    </row>
    <row r="294" spans="9:13" ht="12.75">
      <c r="I294" s="29">
        <v>43952</v>
      </c>
      <c r="J294" s="32">
        <v>31</v>
      </c>
      <c r="K294" s="22" t="s">
        <v>141</v>
      </c>
      <c r="L294" s="22">
        <v>2020</v>
      </c>
      <c r="M294" s="31">
        <f t="shared" si="1"/>
        <v>293</v>
      </c>
    </row>
    <row r="295" spans="9:13" ht="12.75">
      <c r="I295" s="29">
        <v>43983</v>
      </c>
      <c r="J295" s="32">
        <v>30</v>
      </c>
      <c r="K295" s="22" t="s">
        <v>142</v>
      </c>
      <c r="L295" s="22">
        <v>2020</v>
      </c>
      <c r="M295" s="31">
        <f t="shared" si="1"/>
        <v>294</v>
      </c>
    </row>
    <row r="296" spans="9:13" ht="12.75">
      <c r="I296" s="29">
        <v>44013</v>
      </c>
      <c r="J296" s="32">
        <v>31</v>
      </c>
      <c r="K296" s="22" t="s">
        <v>143</v>
      </c>
      <c r="L296" s="22">
        <v>2020</v>
      </c>
      <c r="M296" s="31">
        <f t="shared" si="1"/>
        <v>295</v>
      </c>
    </row>
    <row r="297" spans="9:13" ht="12.75">
      <c r="I297" s="29">
        <v>44044</v>
      </c>
      <c r="J297" s="32">
        <v>31</v>
      </c>
      <c r="K297" s="22" t="s">
        <v>144</v>
      </c>
      <c r="L297" s="22">
        <v>2020</v>
      </c>
      <c r="M297" s="31">
        <f t="shared" si="1"/>
        <v>296</v>
      </c>
    </row>
    <row r="298" spans="9:13" ht="12.75">
      <c r="I298" s="29">
        <v>44075</v>
      </c>
      <c r="J298" s="32">
        <v>30</v>
      </c>
      <c r="K298" s="22" t="s">
        <v>145</v>
      </c>
      <c r="L298" s="22">
        <v>2020</v>
      </c>
      <c r="M298" s="31">
        <f t="shared" si="1"/>
        <v>297</v>
      </c>
    </row>
    <row r="299" spans="9:13" ht="12.75">
      <c r="I299" s="29">
        <v>44105</v>
      </c>
      <c r="J299" s="32">
        <v>31</v>
      </c>
      <c r="K299" s="22" t="s">
        <v>146</v>
      </c>
      <c r="L299" s="22">
        <v>2020</v>
      </c>
      <c r="M299" s="31">
        <f t="shared" si="1"/>
        <v>298</v>
      </c>
    </row>
    <row r="300" spans="9:13" ht="12.75">
      <c r="I300" s="29">
        <v>44136</v>
      </c>
      <c r="J300" s="32">
        <v>30</v>
      </c>
      <c r="K300" s="22" t="s">
        <v>147</v>
      </c>
      <c r="L300" s="22">
        <v>2020</v>
      </c>
      <c r="M300" s="31">
        <f t="shared" si="1"/>
        <v>299</v>
      </c>
    </row>
    <row r="301" spans="9:13" ht="12.75">
      <c r="I301" s="29">
        <v>44166</v>
      </c>
      <c r="J301" s="32">
        <v>31</v>
      </c>
      <c r="K301" s="22" t="s">
        <v>148</v>
      </c>
      <c r="L301" s="22">
        <v>2020</v>
      </c>
      <c r="M301" s="31">
        <f t="shared" si="1"/>
        <v>300</v>
      </c>
    </row>
    <row r="302" spans="9:13" ht="12.75">
      <c r="I302" s="29">
        <v>44197</v>
      </c>
      <c r="J302" s="30">
        <v>31</v>
      </c>
      <c r="K302" s="22" t="s">
        <v>137</v>
      </c>
      <c r="L302" s="22">
        <v>2021</v>
      </c>
      <c r="M302" s="31">
        <f t="shared" si="1"/>
        <v>301</v>
      </c>
    </row>
    <row r="303" spans="9:13" ht="12.75">
      <c r="I303" s="29">
        <v>44228</v>
      </c>
      <c r="J303" s="30">
        <v>28</v>
      </c>
      <c r="K303" s="22" t="s">
        <v>138</v>
      </c>
      <c r="L303" s="22">
        <v>2021</v>
      </c>
      <c r="M303" s="31">
        <f t="shared" si="1"/>
        <v>302</v>
      </c>
    </row>
    <row r="304" spans="9:13" ht="12.75">
      <c r="I304" s="29">
        <v>44256</v>
      </c>
      <c r="J304" s="32">
        <v>31</v>
      </c>
      <c r="K304" s="22" t="s">
        <v>139</v>
      </c>
      <c r="L304" s="22">
        <v>2021</v>
      </c>
      <c r="M304" s="31">
        <f t="shared" si="1"/>
        <v>303</v>
      </c>
    </row>
    <row r="305" spans="9:13" ht="12.75">
      <c r="I305" s="29">
        <v>44287</v>
      </c>
      <c r="J305" s="32">
        <v>30</v>
      </c>
      <c r="K305" s="22" t="s">
        <v>140</v>
      </c>
      <c r="L305" s="22">
        <v>2021</v>
      </c>
      <c r="M305" s="31">
        <f t="shared" si="1"/>
        <v>304</v>
      </c>
    </row>
    <row r="306" spans="9:13" ht="12.75">
      <c r="I306" s="29">
        <v>44317</v>
      </c>
      <c r="J306" s="32">
        <v>31</v>
      </c>
      <c r="K306" s="22" t="s">
        <v>141</v>
      </c>
      <c r="L306" s="22">
        <v>2021</v>
      </c>
      <c r="M306" s="31">
        <f t="shared" si="1"/>
        <v>305</v>
      </c>
    </row>
    <row r="307" spans="9:13" ht="12.75">
      <c r="I307" s="29">
        <v>44348</v>
      </c>
      <c r="J307" s="32">
        <v>30</v>
      </c>
      <c r="K307" s="22" t="s">
        <v>142</v>
      </c>
      <c r="L307" s="22">
        <v>2021</v>
      </c>
      <c r="M307" s="31">
        <f t="shared" si="1"/>
        <v>306</v>
      </c>
    </row>
    <row r="308" spans="9:13" ht="12.75">
      <c r="I308" s="29">
        <v>44378</v>
      </c>
      <c r="J308" s="32">
        <v>31</v>
      </c>
      <c r="K308" s="22" t="s">
        <v>143</v>
      </c>
      <c r="L308" s="22">
        <v>2021</v>
      </c>
      <c r="M308" s="31">
        <f t="shared" si="1"/>
        <v>307</v>
      </c>
    </row>
    <row r="309" spans="9:13" ht="12.75">
      <c r="I309" s="29">
        <v>44409</v>
      </c>
      <c r="J309" s="32">
        <v>31</v>
      </c>
      <c r="K309" s="22" t="s">
        <v>144</v>
      </c>
      <c r="L309" s="22">
        <v>2021</v>
      </c>
      <c r="M309" s="31">
        <f t="shared" si="1"/>
        <v>308</v>
      </c>
    </row>
    <row r="310" spans="9:13" ht="12.75">
      <c r="I310" s="29">
        <v>44440</v>
      </c>
      <c r="J310" s="32">
        <v>30</v>
      </c>
      <c r="K310" s="22" t="s">
        <v>145</v>
      </c>
      <c r="L310" s="22">
        <v>2021</v>
      </c>
      <c r="M310" s="31">
        <f t="shared" si="1"/>
        <v>309</v>
      </c>
    </row>
    <row r="311" spans="9:13" ht="12.75">
      <c r="I311" s="29">
        <v>44470</v>
      </c>
      <c r="J311" s="32">
        <v>31</v>
      </c>
      <c r="K311" s="22" t="s">
        <v>146</v>
      </c>
      <c r="L311" s="22">
        <v>2021</v>
      </c>
      <c r="M311" s="31">
        <f t="shared" si="1"/>
        <v>310</v>
      </c>
    </row>
    <row r="312" spans="9:13" ht="12.75">
      <c r="I312" s="29">
        <v>44501</v>
      </c>
      <c r="J312" s="32">
        <v>30</v>
      </c>
      <c r="K312" s="22" t="s">
        <v>147</v>
      </c>
      <c r="L312" s="22">
        <v>2021</v>
      </c>
      <c r="M312" s="31">
        <f t="shared" si="1"/>
        <v>311</v>
      </c>
    </row>
    <row r="313" spans="9:13" ht="12.75">
      <c r="I313" s="29">
        <v>44531</v>
      </c>
      <c r="J313" s="32">
        <v>31</v>
      </c>
      <c r="K313" s="22" t="s">
        <v>148</v>
      </c>
      <c r="L313" s="22">
        <v>2021</v>
      </c>
      <c r="M313" s="31">
        <f t="shared" si="1"/>
        <v>312</v>
      </c>
    </row>
  </sheetData>
  <sheetProtection/>
  <mergeCells count="65">
    <mergeCell ref="B101:C101"/>
    <mergeCell ref="E100:F100"/>
    <mergeCell ref="E101:F101"/>
    <mergeCell ref="E98:F98"/>
    <mergeCell ref="A99:F99"/>
    <mergeCell ref="E91:F91"/>
    <mergeCell ref="E94:F94"/>
    <mergeCell ref="E95:F95"/>
    <mergeCell ref="B100:C100"/>
    <mergeCell ref="E96:F96"/>
    <mergeCell ref="E97:F97"/>
    <mergeCell ref="E82:F82"/>
    <mergeCell ref="E83:F83"/>
    <mergeCell ref="E84:F84"/>
    <mergeCell ref="E92:F92"/>
    <mergeCell ref="E93:F93"/>
    <mergeCell ref="E85:F85"/>
    <mergeCell ref="E87:F87"/>
    <mergeCell ref="E88:F88"/>
    <mergeCell ref="E89:F89"/>
    <mergeCell ref="E90:F90"/>
    <mergeCell ref="E62:F62"/>
    <mergeCell ref="E63:F63"/>
    <mergeCell ref="B56:C56"/>
    <mergeCell ref="B57:C57"/>
    <mergeCell ref="E86:F86"/>
    <mergeCell ref="E68:F68"/>
    <mergeCell ref="E66:F66"/>
    <mergeCell ref="E79:F79"/>
    <mergeCell ref="E80:F80"/>
    <mergeCell ref="E81:F81"/>
    <mergeCell ref="E21:F21"/>
    <mergeCell ref="E18:F18"/>
    <mergeCell ref="E22:F22"/>
    <mergeCell ref="B16:C16"/>
    <mergeCell ref="E64:F64"/>
    <mergeCell ref="E78:F78"/>
    <mergeCell ref="E44:F44"/>
    <mergeCell ref="E45:F45"/>
    <mergeCell ref="A52:G53"/>
    <mergeCell ref="B58:C58"/>
    <mergeCell ref="A1:D1"/>
    <mergeCell ref="A4:D4"/>
    <mergeCell ref="A15:D15"/>
    <mergeCell ref="A7:C7"/>
    <mergeCell ref="A19:C19"/>
    <mergeCell ref="B18:C18"/>
    <mergeCell ref="E19:F19"/>
    <mergeCell ref="J1:M1"/>
    <mergeCell ref="E20:F20"/>
    <mergeCell ref="A23:D23"/>
    <mergeCell ref="E24:F24"/>
    <mergeCell ref="E23:F23"/>
    <mergeCell ref="B20:C20"/>
    <mergeCell ref="B21:C21"/>
    <mergeCell ref="A11:C11"/>
    <mergeCell ref="B17:C17"/>
    <mergeCell ref="E25:F25"/>
    <mergeCell ref="A47:D47"/>
    <mergeCell ref="E38:F38"/>
    <mergeCell ref="A37:C37"/>
    <mergeCell ref="A26:G28"/>
    <mergeCell ref="E39:F39"/>
    <mergeCell ref="A40:C40"/>
    <mergeCell ref="E47:F47"/>
  </mergeCells>
  <dataValidations count="2">
    <dataValidation errorStyle="warning" type="whole" operator="greaterThanOrEqual" allowBlank="1" showErrorMessage="1" errorTitle="ERROR EN LAS FECHAS" error="Esta fecha no puede ser anterior a la de publicación en D.O." sqref="D3">
      <formula1>D6</formula1>
    </dataValidation>
    <dataValidation type="whole" operator="greaterThanOrEqual" allowBlank="1" showInputMessage="1" showErrorMessage="1" errorTitle="ERROR DE FECHAS" sqref="D6">
      <formula1>D3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AA449"/>
  <sheetViews>
    <sheetView tabSelected="1" zoomScale="115" zoomScaleNormal="115" zoomScalePageLayoutView="0" workbookViewId="0" topLeftCell="A1">
      <selection activeCell="A3" sqref="A3:F3"/>
    </sheetView>
  </sheetViews>
  <sheetFormatPr defaultColWidth="11.421875" defaultRowHeight="12.75"/>
  <cols>
    <col min="1" max="1" width="6.28125" style="0" customWidth="1"/>
    <col min="7" max="7" width="14.421875" style="0" customWidth="1"/>
    <col min="8" max="8" width="9.140625" style="0" customWidth="1"/>
  </cols>
  <sheetData>
    <row r="1" spans="1:27" ht="26.25" customHeight="1">
      <c r="A1" s="732" t="s">
        <v>292</v>
      </c>
      <c r="B1" s="732"/>
      <c r="C1" s="732"/>
      <c r="D1" s="363"/>
      <c r="E1" s="724" t="s">
        <v>354</v>
      </c>
      <c r="F1" s="724"/>
      <c r="G1" s="724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7" ht="33.75" customHeight="1" thickBot="1">
      <c r="A2" s="733" t="s">
        <v>365</v>
      </c>
      <c r="B2" s="733"/>
      <c r="C2" s="733"/>
      <c r="D2" s="361"/>
      <c r="E2" s="725" t="s">
        <v>366</v>
      </c>
      <c r="F2" s="725"/>
      <c r="G2" s="725"/>
      <c r="H2" s="392" t="str">
        <f>"pág. 1"</f>
        <v>pág. 1</v>
      </c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ht="18" customHeight="1">
      <c r="A3" s="727" t="s">
        <v>176</v>
      </c>
      <c r="B3" s="727"/>
      <c r="C3" s="727"/>
      <c r="D3" s="727"/>
      <c r="E3" s="727"/>
      <c r="F3" s="727"/>
      <c r="G3" s="365" t="s">
        <v>10</v>
      </c>
      <c r="H3" s="366">
        <f ca="1">TODAY()</f>
        <v>44378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27" ht="18" customHeight="1">
      <c r="A4" s="728" t="s">
        <v>208</v>
      </c>
      <c r="B4" s="728"/>
      <c r="C4" s="338"/>
      <c r="D4" s="338"/>
      <c r="E4" s="338"/>
      <c r="F4" s="342"/>
      <c r="G4" s="338"/>
      <c r="H4" s="393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1:27" ht="18" customHeight="1">
      <c r="A5" s="394"/>
      <c r="B5" s="729" t="str">
        <f>INICIO!$J$8</f>
        <v>VERSIÓN 1.21 (ACTUALIZ.: 08/01/2021)</v>
      </c>
      <c r="C5" s="729"/>
      <c r="D5" s="729"/>
      <c r="E5" s="364"/>
      <c r="F5" s="729" t="str">
        <f>INICIO!$N$8</f>
        <v>ULTIMOS ÍNDICES: JUN. 2020</v>
      </c>
      <c r="G5" s="729"/>
      <c r="H5" s="72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1:27" ht="18" customHeight="1">
      <c r="A6" s="728" t="s">
        <v>277</v>
      </c>
      <c r="B6" s="728"/>
      <c r="C6" s="729" t="str">
        <f>IF(INICIO!$J$43="Introducir el nombre del autor de la revisión","Falta introducir el nombre del autor",INICIO!$J$43)</f>
        <v>Falta introducir el nombre del autor</v>
      </c>
      <c r="D6" s="729"/>
      <c r="E6" s="729"/>
      <c r="F6" s="729"/>
      <c r="G6" s="342"/>
      <c r="H6" s="342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</row>
    <row r="7" spans="1:27" ht="18" customHeight="1">
      <c r="A7" s="395"/>
      <c r="B7" s="395"/>
      <c r="C7" s="395"/>
      <c r="D7" s="395"/>
      <c r="E7" s="395"/>
      <c r="F7" s="396"/>
      <c r="G7" s="395"/>
      <c r="H7" s="397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</row>
    <row r="8" spans="1:27" ht="18" customHeight="1">
      <c r="A8" s="476" t="s">
        <v>177</v>
      </c>
      <c r="B8" s="473"/>
      <c r="C8" s="343"/>
      <c r="D8" s="333"/>
      <c r="E8" s="333"/>
      <c r="F8" s="333"/>
      <c r="G8" s="333"/>
      <c r="H8" s="333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</row>
    <row r="9" spans="1:27" ht="42" customHeight="1">
      <c r="A9" s="360"/>
      <c r="B9" s="734" t="s">
        <v>342</v>
      </c>
      <c r="C9" s="734"/>
      <c r="D9" s="735" t="str">
        <f>IF(INICIO!K2="Introducir el nombre de la obra","Falta introducir el nombre de la obra",INICIO!K2)</f>
        <v>Introduzca el título y clave de la obra</v>
      </c>
      <c r="E9" s="735"/>
      <c r="F9" s="735"/>
      <c r="G9" s="735"/>
      <c r="H9" s="735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</row>
    <row r="10" spans="1:27" ht="18" customHeight="1">
      <c r="A10" s="734" t="s">
        <v>78</v>
      </c>
      <c r="B10" s="734"/>
      <c r="C10" s="734"/>
      <c r="D10" s="730">
        <f>INICIO!B30</f>
        <v>0</v>
      </c>
      <c r="E10" s="730"/>
      <c r="F10" s="345" t="s">
        <v>182</v>
      </c>
      <c r="G10" s="336"/>
      <c r="H10" s="346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</row>
    <row r="11" spans="1:27" ht="18" customHeight="1">
      <c r="A11" s="333"/>
      <c r="B11" s="731" t="s">
        <v>128</v>
      </c>
      <c r="C11" s="731"/>
      <c r="D11" s="336" t="s">
        <v>334</v>
      </c>
      <c r="E11" s="343"/>
      <c r="F11" s="343"/>
      <c r="G11" s="347" t="str">
        <f>CONCATENATE(AUXILIAR!A25,".",AUXILIAR!B25,".",AUXILIAR!C25)</f>
        <v>20.1.2009</v>
      </c>
      <c r="H11" s="334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</row>
    <row r="12" spans="1:27" ht="18" customHeight="1">
      <c r="A12" s="344"/>
      <c r="B12" s="731"/>
      <c r="C12" s="731"/>
      <c r="D12" s="336" t="s">
        <v>332</v>
      </c>
      <c r="E12" s="348"/>
      <c r="F12" s="348"/>
      <c r="G12" s="347" t="str">
        <f>CONCATENATE(AUXILIAR!A3,".",AUXILIAR!B3,".",AUXILIAR!C3)</f>
        <v>20.1.2009</v>
      </c>
      <c r="H12" s="334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</row>
    <row r="13" spans="1:27" ht="18" customHeight="1">
      <c r="A13" s="344"/>
      <c r="B13" s="731"/>
      <c r="C13" s="731"/>
      <c r="D13" s="336" t="s">
        <v>333</v>
      </c>
      <c r="E13" s="343"/>
      <c r="F13" s="343"/>
      <c r="G13" s="347" t="str">
        <f>CONCATENATE(AUXILIAR!A6,".",AUXILIAR!B6,".",AUXILIAR!C6)</f>
        <v>20.1.2009</v>
      </c>
      <c r="H13" s="334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</row>
    <row r="14" spans="1:27" ht="18" customHeight="1">
      <c r="A14" s="344"/>
      <c r="B14" s="731"/>
      <c r="C14" s="731"/>
      <c r="D14" s="349" t="s">
        <v>289</v>
      </c>
      <c r="E14" s="333"/>
      <c r="F14" s="350"/>
      <c r="G14" s="351">
        <f>AUXILIAR!D9</f>
        <v>39814</v>
      </c>
      <c r="H14" s="334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</row>
    <row r="15" spans="1:27" ht="18" customHeight="1">
      <c r="A15" s="344"/>
      <c r="B15" s="731"/>
      <c r="C15" s="731"/>
      <c r="D15" s="357" t="s">
        <v>290</v>
      </c>
      <c r="E15" s="340"/>
      <c r="F15" s="358"/>
      <c r="G15" s="359">
        <f>AUXILIAR!D39</f>
        <v>39814</v>
      </c>
      <c r="H15" s="340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</row>
    <row r="16" spans="1:27" ht="18" customHeight="1">
      <c r="A16" s="734" t="s">
        <v>340</v>
      </c>
      <c r="B16" s="734"/>
      <c r="C16" s="734"/>
      <c r="D16" s="743">
        <f>INICIO!B35</f>
        <v>0</v>
      </c>
      <c r="E16" s="743"/>
      <c r="F16" s="334"/>
      <c r="G16" s="336"/>
      <c r="H16" s="346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7" ht="18" customHeight="1">
      <c r="A17" s="734" t="s">
        <v>288</v>
      </c>
      <c r="B17" s="734"/>
      <c r="C17" s="734"/>
      <c r="D17" s="744">
        <f>INICIO!G35</f>
      </c>
      <c r="E17" s="744"/>
      <c r="F17" s="334"/>
      <c r="G17" s="336"/>
      <c r="H17" s="346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</row>
    <row r="18" spans="1:27" ht="18" customHeight="1">
      <c r="A18" s="340"/>
      <c r="B18" s="340"/>
      <c r="C18" s="340"/>
      <c r="D18" s="356"/>
      <c r="E18" s="356"/>
      <c r="F18" s="356"/>
      <c r="G18" s="356"/>
      <c r="H18" s="340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</row>
    <row r="19" spans="1:27" ht="18" customHeight="1">
      <c r="A19" s="355" t="s">
        <v>178</v>
      </c>
      <c r="B19" s="355"/>
      <c r="C19" s="355"/>
      <c r="D19" s="333"/>
      <c r="E19" s="333"/>
      <c r="F19" s="333"/>
      <c r="G19" s="333"/>
      <c r="H19" s="333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</row>
    <row r="20" spans="1:27" ht="18" customHeight="1">
      <c r="A20" s="343"/>
      <c r="B20" s="726" t="s">
        <v>179</v>
      </c>
      <c r="C20" s="726"/>
      <c r="D20" s="398" t="str">
        <f>INICIO!M11</f>
        <v>LCSP del 2008</v>
      </c>
      <c r="E20" s="333"/>
      <c r="F20" s="333"/>
      <c r="G20" s="333"/>
      <c r="H20" s="333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</row>
    <row r="21" spans="1:27" ht="18" customHeight="1">
      <c r="A21" s="343"/>
      <c r="B21" s="726" t="s">
        <v>180</v>
      </c>
      <c r="C21" s="726"/>
      <c r="D21" s="398" t="str">
        <f>INICIO!M12</f>
        <v>Reglamento 2001</v>
      </c>
      <c r="E21" s="333"/>
      <c r="F21" s="333"/>
      <c r="G21" s="333"/>
      <c r="H21" s="333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  <row r="22" spans="1:27" ht="18" customHeight="1">
      <c r="A22" s="343"/>
      <c r="B22" s="343"/>
      <c r="C22" s="343"/>
      <c r="D22" s="333"/>
      <c r="E22" s="333"/>
      <c r="F22" s="333"/>
      <c r="G22" s="333"/>
      <c r="H22" s="333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1:27" s="13" customFormat="1" ht="18" customHeight="1">
      <c r="A23" s="355" t="s">
        <v>181</v>
      </c>
      <c r="B23" s="355"/>
      <c r="C23" s="355"/>
      <c r="D23" s="343"/>
      <c r="E23" s="343"/>
      <c r="F23" s="343"/>
      <c r="G23" s="343"/>
      <c r="H23" s="343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1:27" ht="18" customHeight="1">
      <c r="A24" s="333"/>
      <c r="B24" s="514" t="s">
        <v>341</v>
      </c>
      <c r="C24" s="514"/>
      <c r="D24" s="336" t="str">
        <f>CONCATENATE("Nº ",FÓRMULAS!C8)</f>
        <v>Nº 1</v>
      </c>
      <c r="E24" s="333"/>
      <c r="F24" s="343">
        <f>IF(AUXILIAR!D11=1,"",CONCATENATE("SEGUNDA fórmula Nº ",FÓRMULAS!C9))</f>
      </c>
      <c r="G24" s="333"/>
      <c r="H24" s="337">
        <f>IF(INICIO!G32=0,"",FÓRMULAS!C9)</f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</row>
    <row r="25" spans="1:27" ht="18" customHeight="1">
      <c r="A25" s="333"/>
      <c r="B25" s="352">
        <f>IF(INICIO!G32=0,"","Presupuesto 1")</f>
      </c>
      <c r="C25" s="736">
        <f>IF(INICIO!G32=0,"",INICIO!B32)</f>
      </c>
      <c r="D25" s="736"/>
      <c r="E25" s="353"/>
      <c r="F25" s="352">
        <f>IF(INICIO!G32=0,"","Presupuesto 2")</f>
      </c>
      <c r="G25" s="736">
        <f>IF(INICIO!G32=0,"",INICIO!G32)</f>
      </c>
      <c r="H25" s="736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</row>
    <row r="26" spans="1:27" ht="18" customHeight="1">
      <c r="A26" s="333"/>
      <c r="B26" s="333"/>
      <c r="C26" s="333"/>
      <c r="D26" s="333"/>
      <c r="E26" s="334"/>
      <c r="F26" s="334"/>
      <c r="G26" s="334"/>
      <c r="H26" s="334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</row>
    <row r="27" spans="1:27" ht="18" customHeight="1">
      <c r="A27" s="473" t="s">
        <v>183</v>
      </c>
      <c r="B27" s="355"/>
      <c r="C27" s="355"/>
      <c r="D27" s="355"/>
      <c r="E27" s="355"/>
      <c r="F27" s="343"/>
      <c r="G27" s="343"/>
      <c r="H27" s="343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</row>
    <row r="28" spans="1:27" ht="18" customHeight="1">
      <c r="A28" s="343"/>
      <c r="B28" s="343"/>
      <c r="C28" s="343"/>
      <c r="D28" s="343"/>
      <c r="E28" s="343"/>
      <c r="F28" s="343"/>
      <c r="G28" s="343"/>
      <c r="H28" s="343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</row>
    <row r="29" spans="1:27" ht="42" customHeight="1">
      <c r="A29" s="343"/>
      <c r="B29" s="745" t="str">
        <f>'CÁLCULO REVISIÓN'!D7</f>
        <v>La primera certificación con derecho a revisión es la correspondiente a Mayo de 2014. De dicho mes será revisable la cantidad de 0,00 €</v>
      </c>
      <c r="C29" s="745"/>
      <c r="D29" s="745"/>
      <c r="E29" s="745"/>
      <c r="F29" s="745"/>
      <c r="G29" s="745"/>
      <c r="H29" s="368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</row>
    <row r="30" spans="1:27" ht="18" customHeight="1">
      <c r="A30" s="343"/>
      <c r="B30" s="343"/>
      <c r="C30" s="343"/>
      <c r="D30" s="343"/>
      <c r="E30" s="343"/>
      <c r="F30" s="343"/>
      <c r="G30" s="343"/>
      <c r="H30" s="343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</row>
    <row r="31" spans="1:27" ht="18" customHeight="1">
      <c r="A31" s="514" t="s">
        <v>184</v>
      </c>
      <c r="B31" s="514"/>
      <c r="C31" s="514"/>
      <c r="D31" s="739">
        <f>INICIO!D38</f>
        <v>0</v>
      </c>
      <c r="E31" s="740"/>
      <c r="F31" s="333" t="s">
        <v>182</v>
      </c>
      <c r="G31" s="354"/>
      <c r="H31" s="333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</row>
    <row r="32" spans="1:27" ht="18" customHeight="1">
      <c r="A32" s="514" t="s">
        <v>174</v>
      </c>
      <c r="B32" s="514"/>
      <c r="C32" s="514"/>
      <c r="D32" s="739">
        <f>INICIO!D40</f>
        <v>0</v>
      </c>
      <c r="E32" s="740"/>
      <c r="F32" s="333" t="s">
        <v>182</v>
      </c>
      <c r="G32" s="333"/>
      <c r="H32" s="333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7" ht="18" customHeight="1">
      <c r="A33" s="333"/>
      <c r="B33" s="333"/>
      <c r="C33" s="333"/>
      <c r="D33" s="354"/>
      <c r="E33" s="346"/>
      <c r="F33" s="333"/>
      <c r="G33" s="333"/>
      <c r="H33" s="333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</row>
    <row r="34" spans="1:27" ht="18" customHeight="1">
      <c r="A34" s="333"/>
      <c r="B34" s="461"/>
      <c r="C34" s="462" t="s">
        <v>185</v>
      </c>
      <c r="D34" s="741">
        <f>INICIO!D42</f>
        <v>0</v>
      </c>
      <c r="E34" s="742"/>
      <c r="F34" s="463" t="s">
        <v>182</v>
      </c>
      <c r="G34" s="333"/>
      <c r="H34" s="333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</row>
    <row r="35" spans="1:27" ht="18" customHeight="1">
      <c r="A35" s="333"/>
      <c r="B35" s="333"/>
      <c r="C35" s="333"/>
      <c r="D35" s="333"/>
      <c r="E35" s="333"/>
      <c r="F35" s="333"/>
      <c r="G35" s="333"/>
      <c r="H35" s="333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</row>
    <row r="36" spans="1:27" ht="18" customHeight="1">
      <c r="A36" s="332"/>
      <c r="B36" s="332" t="str">
        <f>CONCATENATE("Todas las cantidades están expresadas ",IF(AUXILIAR!E29=2,"con IVA",IF(AUXILIAR!E29=3,"sin IVA","")),".")</f>
        <v>Todas las cantidades están expresadas sin IVA.</v>
      </c>
      <c r="C36" s="333"/>
      <c r="D36" s="333"/>
      <c r="E36" s="333"/>
      <c r="F36" s="333"/>
      <c r="G36" s="333"/>
      <c r="H36" s="333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</row>
    <row r="37" spans="1:27" ht="12.75">
      <c r="A37" s="332"/>
      <c r="B37" s="332"/>
      <c r="C37" s="333"/>
      <c r="D37" s="333"/>
      <c r="E37" s="333"/>
      <c r="F37" s="333"/>
      <c r="G37" s="333"/>
      <c r="H37" s="333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</row>
    <row r="38" spans="1:27" ht="18" customHeight="1">
      <c r="A38" s="474" t="s">
        <v>343</v>
      </c>
      <c r="B38" s="370"/>
      <c r="C38" s="333"/>
      <c r="D38" s="333"/>
      <c r="E38" s="737" t="str">
        <f>D9</f>
        <v>Introduzca el título y clave de la obra</v>
      </c>
      <c r="F38" s="738"/>
      <c r="G38" s="738"/>
      <c r="H38" s="371" t="s">
        <v>211</v>
      </c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</row>
    <row r="39" spans="1:27" ht="12.75">
      <c r="A39" s="369"/>
      <c r="B39" s="760" t="str">
        <f>CONCATENATE("FÓRM. Nº ",FÓRMULAS!C8)</f>
        <v>FÓRM. Nº 1</v>
      </c>
      <c r="C39" s="760"/>
      <c r="D39" s="760"/>
      <c r="E39" s="391">
        <f>IF(AUXILIAR!D11=2,CONCATENATE("FÓRM. Nº ",FÓRMULAS!C9),"")</f>
      </c>
      <c r="F39" s="753" t="s">
        <v>344</v>
      </c>
      <c r="G39" s="758" t="s">
        <v>213</v>
      </c>
      <c r="H39" s="333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</row>
    <row r="40" spans="1:27" ht="12.75">
      <c r="A40" s="372"/>
      <c r="B40" s="399" t="s">
        <v>49</v>
      </c>
      <c r="C40" s="338" t="s">
        <v>209</v>
      </c>
      <c r="D40" s="338" t="s">
        <v>210</v>
      </c>
      <c r="E40" s="399">
        <f>IF(AUXILIAR!D11=2,"Líquido","")</f>
      </c>
      <c r="F40" s="754"/>
      <c r="G40" s="759"/>
      <c r="H40" s="333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</row>
    <row r="41" spans="1:27" ht="12.75">
      <c r="A41" s="373"/>
      <c r="B41" s="262">
        <f>IF(CERTIFICACIONES!$G5&gt;0,CERTIFICACIONES!A5,"")</f>
      </c>
      <c r="C41" s="263">
        <f>IF(CERTIFICACIONES!$G5&gt;0,CERTIFICACIONES!B5,"")</f>
      </c>
      <c r="D41" s="264">
        <f>IF(CERTIFICACIONES!$C5&gt;0,CERTIFICACIONES!C5,"")</f>
      </c>
      <c r="E41" s="265">
        <f>IF(CERTIFICACIONES!F5&gt;0,CERTIFICACIONES!F5,"")</f>
      </c>
      <c r="F41" s="266">
        <f>IF(CERTIFICACIONES!G5&gt;0,CERTIFICACIONES!G5,"")</f>
      </c>
      <c r="G41" s="265">
        <f>IF(CERTIFICACIONES!G5&gt;0,CERTIFICACIONES!H5,"")</f>
      </c>
      <c r="H41" s="333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</row>
    <row r="42" spans="1:27" ht="12.75">
      <c r="A42" s="373"/>
      <c r="B42" s="374">
        <f>IF(CERTIFICACIONES!$G6&gt;0,CERTIFICACIONES!A6,"")</f>
      </c>
      <c r="C42" s="375">
        <f>IF(CERTIFICACIONES!$G6&gt;0,CERTIFICACIONES!B6,"")</f>
      </c>
      <c r="D42" s="376">
        <f>IF(CERTIFICACIONES!$C6&gt;0,CERTIFICACIONES!C6,"")</f>
      </c>
      <c r="E42" s="377">
        <f>IF(CERTIFICACIONES!F6&gt;0,CERTIFICACIONES!F6,"")</f>
      </c>
      <c r="F42" s="378">
        <f>IF(CERTIFICACIONES!G6&gt;0,CERTIFICACIONES!G6,"")</f>
      </c>
      <c r="G42" s="377">
        <f>IF(CERTIFICACIONES!G6&gt;0,CERTIFICACIONES!H6,"")</f>
      </c>
      <c r="H42" s="333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spans="1:27" ht="12.75">
      <c r="A43" s="373"/>
      <c r="B43" s="262">
        <f>IF(CERTIFICACIONES!$G7&gt;0,CERTIFICACIONES!A7,"")</f>
      </c>
      <c r="C43" s="263">
        <f>IF(CERTIFICACIONES!$G7&gt;0,CERTIFICACIONES!B7,"")</f>
      </c>
      <c r="D43" s="264">
        <f>IF(CERTIFICACIONES!$C7&gt;0,CERTIFICACIONES!C7,"")</f>
      </c>
      <c r="E43" s="265">
        <f>IF(CERTIFICACIONES!F7&gt;0,CERTIFICACIONES!F7,"")</f>
      </c>
      <c r="F43" s="266">
        <f>IF(CERTIFICACIONES!G7&gt;0,CERTIFICACIONES!G7,"")</f>
      </c>
      <c r="G43" s="265">
        <f>IF(CERTIFICACIONES!G7&gt;0,CERTIFICACIONES!H7,"")</f>
      </c>
      <c r="H43" s="333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</row>
    <row r="44" spans="1:27" ht="12.75">
      <c r="A44" s="373"/>
      <c r="B44" s="374">
        <f>IF(CERTIFICACIONES!$G8&gt;0,CERTIFICACIONES!A8,"")</f>
      </c>
      <c r="C44" s="375">
        <f>IF(CERTIFICACIONES!$G8&gt;0,CERTIFICACIONES!B8,"")</f>
      </c>
      <c r="D44" s="376">
        <f>IF(CERTIFICACIONES!$C8&gt;0,CERTIFICACIONES!C8,"")</f>
      </c>
      <c r="E44" s="377">
        <f>IF(CERTIFICACIONES!F8&gt;0,CERTIFICACIONES!F8,"")</f>
      </c>
      <c r="F44" s="378">
        <f>IF(CERTIFICACIONES!G8&gt;0,CERTIFICACIONES!G8,"")</f>
      </c>
      <c r="G44" s="377">
        <f>IF(CERTIFICACIONES!G8&gt;0,CERTIFICACIONES!H8,"")</f>
      </c>
      <c r="H44" s="333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45" spans="1:27" ht="12.75">
      <c r="A45" s="373"/>
      <c r="B45" s="262">
        <f>IF(CERTIFICACIONES!$G9&gt;0,CERTIFICACIONES!A9,"")</f>
      </c>
      <c r="C45" s="263">
        <f>IF(CERTIFICACIONES!$G9&gt;0,CERTIFICACIONES!B9,"")</f>
      </c>
      <c r="D45" s="264">
        <f>IF(CERTIFICACIONES!$C9&gt;0,CERTIFICACIONES!C9,"")</f>
      </c>
      <c r="E45" s="265">
        <f>IF(CERTIFICACIONES!F9&gt;0,CERTIFICACIONES!F9,"")</f>
      </c>
      <c r="F45" s="266">
        <f>IF(CERTIFICACIONES!G9&gt;0,CERTIFICACIONES!G9,"")</f>
      </c>
      <c r="G45" s="265">
        <f>IF(CERTIFICACIONES!G9&gt;0,CERTIFICACIONES!H9,"")</f>
      </c>
      <c r="H45" s="333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</row>
    <row r="46" spans="1:27" ht="12.75">
      <c r="A46" s="373"/>
      <c r="B46" s="374">
        <f>IF(CERTIFICACIONES!$G10&gt;0,CERTIFICACIONES!A10,"")</f>
      </c>
      <c r="C46" s="375">
        <f>IF(CERTIFICACIONES!$G10&gt;0,CERTIFICACIONES!B10,"")</f>
      </c>
      <c r="D46" s="376">
        <f>IF(CERTIFICACIONES!$C10&gt;0,CERTIFICACIONES!C10,"")</f>
      </c>
      <c r="E46" s="377">
        <f>IF(CERTIFICACIONES!F10&gt;0,CERTIFICACIONES!F10,"")</f>
      </c>
      <c r="F46" s="378">
        <f>IF(CERTIFICACIONES!G10&gt;0,CERTIFICACIONES!G10,"")</f>
      </c>
      <c r="G46" s="377">
        <f>IF(CERTIFICACIONES!G10&gt;0,CERTIFICACIONES!H10,"")</f>
      </c>
      <c r="H46" s="333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</row>
    <row r="47" spans="1:27" ht="12.75">
      <c r="A47" s="373"/>
      <c r="B47" s="262">
        <f>IF(CERTIFICACIONES!$G11&gt;0,CERTIFICACIONES!A11,"")</f>
      </c>
      <c r="C47" s="263">
        <f>IF(CERTIFICACIONES!$G11&gt;0,CERTIFICACIONES!B11,"")</f>
      </c>
      <c r="D47" s="264">
        <f>IF(CERTIFICACIONES!$C11&gt;0,CERTIFICACIONES!C11,"")</f>
      </c>
      <c r="E47" s="265">
        <f>IF(CERTIFICACIONES!F11&gt;0,CERTIFICACIONES!F11,"")</f>
      </c>
      <c r="F47" s="266">
        <f>IF(CERTIFICACIONES!G11&gt;0,CERTIFICACIONES!G11,"")</f>
      </c>
      <c r="G47" s="265">
        <f>IF(CERTIFICACIONES!G11&gt;0,CERTIFICACIONES!H11,"")</f>
      </c>
      <c r="H47" s="333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</row>
    <row r="48" spans="1:27" ht="12.75">
      <c r="A48" s="373"/>
      <c r="B48" s="374">
        <f>IF(CERTIFICACIONES!$G12&gt;0,CERTIFICACIONES!A12,"")</f>
      </c>
      <c r="C48" s="375">
        <f>IF(CERTIFICACIONES!$G12&gt;0,CERTIFICACIONES!B12,"")</f>
      </c>
      <c r="D48" s="376">
        <f>IF(CERTIFICACIONES!$C12&gt;0,CERTIFICACIONES!C12,"")</f>
      </c>
      <c r="E48" s="377">
        <f>IF(CERTIFICACIONES!F12&gt;0,CERTIFICACIONES!F12,"")</f>
      </c>
      <c r="F48" s="378">
        <f>IF(CERTIFICACIONES!G12&gt;0,CERTIFICACIONES!G12,"")</f>
      </c>
      <c r="G48" s="377">
        <f>IF(CERTIFICACIONES!G12&gt;0,CERTIFICACIONES!H12,"")</f>
      </c>
      <c r="H48" s="333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</row>
    <row r="49" spans="1:27" ht="12.75">
      <c r="A49" s="373"/>
      <c r="B49" s="262">
        <f>IF(CERTIFICACIONES!$G13&gt;0,CERTIFICACIONES!A13,"")</f>
      </c>
      <c r="C49" s="263">
        <f>IF(CERTIFICACIONES!$G13&gt;0,CERTIFICACIONES!B13,"")</f>
      </c>
      <c r="D49" s="264">
        <f>IF(CERTIFICACIONES!$C13&gt;0,CERTIFICACIONES!C13,"")</f>
      </c>
      <c r="E49" s="265">
        <f>IF(CERTIFICACIONES!F13&gt;0,CERTIFICACIONES!F13,"")</f>
      </c>
      <c r="F49" s="266">
        <f>IF(CERTIFICACIONES!G13&gt;0,CERTIFICACIONES!G13,"")</f>
      </c>
      <c r="G49" s="265">
        <f>IF(CERTIFICACIONES!G13&gt;0,CERTIFICACIONES!H13,"")</f>
      </c>
      <c r="H49" s="333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</row>
    <row r="50" spans="1:27" ht="12.75">
      <c r="A50" s="373"/>
      <c r="B50" s="374">
        <f>IF(CERTIFICACIONES!$G14&gt;0,CERTIFICACIONES!A14,"")</f>
      </c>
      <c r="C50" s="375">
        <f>IF(CERTIFICACIONES!$G14&gt;0,CERTIFICACIONES!B14,"")</f>
      </c>
      <c r="D50" s="376">
        <f>IF(CERTIFICACIONES!$C14&gt;0,CERTIFICACIONES!C14,"")</f>
      </c>
      <c r="E50" s="377">
        <f>IF(CERTIFICACIONES!F14&gt;0,CERTIFICACIONES!F14,"")</f>
      </c>
      <c r="F50" s="378">
        <f>IF(CERTIFICACIONES!G14&gt;0,CERTIFICACIONES!G14,"")</f>
      </c>
      <c r="G50" s="377">
        <f>IF(CERTIFICACIONES!G14&gt;0,CERTIFICACIONES!H14,"")</f>
      </c>
      <c r="H50" s="333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</row>
    <row r="51" spans="1:27" ht="12.75">
      <c r="A51" s="373"/>
      <c r="B51" s="262">
        <f>IF(CERTIFICACIONES!$G15&gt;0,CERTIFICACIONES!A15,"")</f>
      </c>
      <c r="C51" s="263">
        <f>IF(CERTIFICACIONES!$G15&gt;0,CERTIFICACIONES!B15,"")</f>
      </c>
      <c r="D51" s="264">
        <f>IF(CERTIFICACIONES!$C15&gt;0,CERTIFICACIONES!C15,"")</f>
      </c>
      <c r="E51" s="265">
        <f>IF(CERTIFICACIONES!F15&gt;0,CERTIFICACIONES!F15,"")</f>
      </c>
      <c r="F51" s="266">
        <f>IF(CERTIFICACIONES!G15&gt;0,CERTIFICACIONES!G15,"")</f>
      </c>
      <c r="G51" s="265">
        <f>IF(CERTIFICACIONES!G15&gt;0,CERTIFICACIONES!H15,"")</f>
      </c>
      <c r="H51" s="333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</row>
    <row r="52" spans="1:27" ht="12.75">
      <c r="A52" s="373"/>
      <c r="B52" s="374">
        <f>IF(CERTIFICACIONES!$G16&gt;0,CERTIFICACIONES!A16,"")</f>
      </c>
      <c r="C52" s="375">
        <f>IF(CERTIFICACIONES!$G16&gt;0,CERTIFICACIONES!B16,"")</f>
      </c>
      <c r="D52" s="376">
        <f>IF(CERTIFICACIONES!$C16&gt;0,CERTIFICACIONES!C16,"")</f>
      </c>
      <c r="E52" s="377">
        <f>IF(CERTIFICACIONES!F16&gt;0,CERTIFICACIONES!F16,"")</f>
      </c>
      <c r="F52" s="378">
        <f>IF(CERTIFICACIONES!G16&gt;0,CERTIFICACIONES!G16,"")</f>
      </c>
      <c r="G52" s="377">
        <f>IF(CERTIFICACIONES!G16&gt;0,CERTIFICACIONES!H16,"")</f>
      </c>
      <c r="H52" s="333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</row>
    <row r="53" spans="1:27" ht="12.75">
      <c r="A53" s="373"/>
      <c r="B53" s="262">
        <f>IF(CERTIFICACIONES!$G17&gt;0,CERTIFICACIONES!A17,"")</f>
      </c>
      <c r="C53" s="263">
        <f>IF(CERTIFICACIONES!$G17&gt;0,CERTIFICACIONES!B17,"")</f>
      </c>
      <c r="D53" s="264">
        <f>IF(CERTIFICACIONES!$C17&gt;0,CERTIFICACIONES!C17,"")</f>
      </c>
      <c r="E53" s="265">
        <f>IF(CERTIFICACIONES!F17&gt;0,CERTIFICACIONES!F17,"")</f>
      </c>
      <c r="F53" s="266">
        <f>IF(CERTIFICACIONES!G17&gt;0,CERTIFICACIONES!G17,"")</f>
      </c>
      <c r="G53" s="265">
        <f>IF(CERTIFICACIONES!G17&gt;0,CERTIFICACIONES!H17,"")</f>
      </c>
      <c r="H53" s="333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</row>
    <row r="54" spans="1:27" ht="12.75">
      <c r="A54" s="373"/>
      <c r="B54" s="374">
        <f>IF(CERTIFICACIONES!$G18&gt;0,CERTIFICACIONES!A18,"")</f>
      </c>
      <c r="C54" s="375">
        <f>IF(CERTIFICACIONES!$G18&gt;0,CERTIFICACIONES!B18,"")</f>
      </c>
      <c r="D54" s="376">
        <f>IF(CERTIFICACIONES!$C18&gt;0,CERTIFICACIONES!C18,"")</f>
      </c>
      <c r="E54" s="377">
        <f>IF(CERTIFICACIONES!F18&gt;0,CERTIFICACIONES!F18,"")</f>
      </c>
      <c r="F54" s="378">
        <f>IF(CERTIFICACIONES!G18&gt;0,CERTIFICACIONES!G18,"")</f>
      </c>
      <c r="G54" s="377">
        <f>IF(CERTIFICACIONES!G18&gt;0,CERTIFICACIONES!H18,"")</f>
      </c>
      <c r="H54" s="333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</row>
    <row r="55" spans="1:27" ht="12.75">
      <c r="A55" s="373"/>
      <c r="B55" s="262">
        <f>IF(CERTIFICACIONES!$G19&gt;0,CERTIFICACIONES!A19,"")</f>
      </c>
      <c r="C55" s="263">
        <f>IF(CERTIFICACIONES!$G19&gt;0,CERTIFICACIONES!B19,"")</f>
      </c>
      <c r="D55" s="264">
        <f>IF(CERTIFICACIONES!$C19&gt;0,CERTIFICACIONES!C19,"")</f>
      </c>
      <c r="E55" s="265">
        <f>IF(CERTIFICACIONES!F19&gt;0,CERTIFICACIONES!F19,"")</f>
      </c>
      <c r="F55" s="266">
        <f>IF(CERTIFICACIONES!G19&gt;0,CERTIFICACIONES!G19,"")</f>
      </c>
      <c r="G55" s="265">
        <f>IF(CERTIFICACIONES!G19&gt;0,CERTIFICACIONES!H19,"")</f>
      </c>
      <c r="H55" s="333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</row>
    <row r="56" spans="1:27" ht="12.75">
      <c r="A56" s="373"/>
      <c r="B56" s="374">
        <f>IF(CERTIFICACIONES!$G20&gt;0,CERTIFICACIONES!A20,"")</f>
      </c>
      <c r="C56" s="375">
        <f>IF(CERTIFICACIONES!$G20&gt;0,CERTIFICACIONES!B20,"")</f>
      </c>
      <c r="D56" s="376">
        <f>IF(CERTIFICACIONES!$C20&gt;0,CERTIFICACIONES!C20,"")</f>
      </c>
      <c r="E56" s="377">
        <f>IF(CERTIFICACIONES!F20&gt;0,CERTIFICACIONES!F20,"")</f>
      </c>
      <c r="F56" s="378">
        <f>IF(CERTIFICACIONES!G20&gt;0,CERTIFICACIONES!G20,"")</f>
      </c>
      <c r="G56" s="377">
        <f>IF(CERTIFICACIONES!G20&gt;0,CERTIFICACIONES!H20,"")</f>
      </c>
      <c r="H56" s="333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</row>
    <row r="57" spans="1:27" ht="12.75">
      <c r="A57" s="373"/>
      <c r="B57" s="262">
        <f>IF(CERTIFICACIONES!$G21&gt;0,CERTIFICACIONES!A21,"")</f>
      </c>
      <c r="C57" s="263">
        <f>IF(CERTIFICACIONES!$G21&gt;0,CERTIFICACIONES!B21,"")</f>
      </c>
      <c r="D57" s="264">
        <f>IF(CERTIFICACIONES!$C21&gt;0,CERTIFICACIONES!C21,"")</f>
      </c>
      <c r="E57" s="265">
        <f>IF(CERTIFICACIONES!F21&gt;0,CERTIFICACIONES!F21,"")</f>
      </c>
      <c r="F57" s="266">
        <f>IF(CERTIFICACIONES!G21&gt;0,CERTIFICACIONES!G21,"")</f>
      </c>
      <c r="G57" s="265">
        <f>IF(CERTIFICACIONES!G21&gt;0,CERTIFICACIONES!H21,"")</f>
      </c>
      <c r="H57" s="333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</row>
    <row r="58" spans="1:27" ht="12.75">
      <c r="A58" s="373"/>
      <c r="B58" s="374">
        <f>IF(CERTIFICACIONES!$G22&gt;0,CERTIFICACIONES!A22,"")</f>
      </c>
      <c r="C58" s="375">
        <f>IF(CERTIFICACIONES!$G22&gt;0,CERTIFICACIONES!B22,"")</f>
      </c>
      <c r="D58" s="376">
        <f>IF(CERTIFICACIONES!$C22&gt;0,CERTIFICACIONES!C22,"")</f>
      </c>
      <c r="E58" s="377">
        <f>IF(CERTIFICACIONES!F22&gt;0,CERTIFICACIONES!F22,"")</f>
      </c>
      <c r="F58" s="378">
        <f>IF(CERTIFICACIONES!G22&gt;0,CERTIFICACIONES!G22,"")</f>
      </c>
      <c r="G58" s="377">
        <f>IF(CERTIFICACIONES!G22&gt;0,CERTIFICACIONES!H22,"")</f>
      </c>
      <c r="H58" s="333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</row>
    <row r="59" spans="1:27" ht="12.75">
      <c r="A59" s="373"/>
      <c r="B59" s="262">
        <f>IF(CERTIFICACIONES!$G23&gt;0,CERTIFICACIONES!A23,"")</f>
      </c>
      <c r="C59" s="263">
        <f>IF(CERTIFICACIONES!$G23&gt;0,CERTIFICACIONES!B23,"")</f>
      </c>
      <c r="D59" s="264">
        <f>IF(CERTIFICACIONES!$C23&gt;0,CERTIFICACIONES!C23,"")</f>
      </c>
      <c r="E59" s="265">
        <f>IF(CERTIFICACIONES!F23&gt;0,CERTIFICACIONES!F23,"")</f>
      </c>
      <c r="F59" s="266">
        <f>IF(CERTIFICACIONES!G23&gt;0,CERTIFICACIONES!G23,"")</f>
      </c>
      <c r="G59" s="265">
        <f>IF(CERTIFICACIONES!G23&gt;0,CERTIFICACIONES!H23,"")</f>
      </c>
      <c r="H59" s="333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</row>
    <row r="60" spans="1:27" ht="12.75">
      <c r="A60" s="373"/>
      <c r="B60" s="374">
        <f>IF(CERTIFICACIONES!$G24&gt;0,CERTIFICACIONES!A24,"")</f>
      </c>
      <c r="C60" s="375">
        <f>IF(CERTIFICACIONES!$G24&gt;0,CERTIFICACIONES!B24,"")</f>
      </c>
      <c r="D60" s="376">
        <f>IF(CERTIFICACIONES!$C24&gt;0,CERTIFICACIONES!C24,"")</f>
      </c>
      <c r="E60" s="377">
        <f>IF(CERTIFICACIONES!F24&gt;0,CERTIFICACIONES!F24,"")</f>
      </c>
      <c r="F60" s="378">
        <f>IF(CERTIFICACIONES!G24&gt;0,CERTIFICACIONES!G24,"")</f>
      </c>
      <c r="G60" s="377">
        <f>IF(CERTIFICACIONES!G24&gt;0,CERTIFICACIONES!H24,"")</f>
      </c>
      <c r="H60" s="333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</row>
    <row r="61" spans="1:27" ht="12.75">
      <c r="A61" s="373"/>
      <c r="B61" s="262">
        <f>IF(CERTIFICACIONES!$G25&gt;0,CERTIFICACIONES!A25,"")</f>
      </c>
      <c r="C61" s="263">
        <f>IF(CERTIFICACIONES!$G25&gt;0,CERTIFICACIONES!B25,"")</f>
      </c>
      <c r="D61" s="264">
        <f>IF(CERTIFICACIONES!$C25&gt;0,CERTIFICACIONES!C25,"")</f>
      </c>
      <c r="E61" s="265">
        <f>IF(CERTIFICACIONES!F25&gt;0,CERTIFICACIONES!F25,"")</f>
      </c>
      <c r="F61" s="266">
        <f>IF(CERTIFICACIONES!G25&gt;0,CERTIFICACIONES!G25,"")</f>
      </c>
      <c r="G61" s="265">
        <f>IF(CERTIFICACIONES!G25&gt;0,CERTIFICACIONES!H25,"")</f>
      </c>
      <c r="H61" s="333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</row>
    <row r="62" spans="1:27" ht="12.75">
      <c r="A62" s="373"/>
      <c r="B62" s="374">
        <f>IF(CERTIFICACIONES!$G26&gt;0,CERTIFICACIONES!A26,"")</f>
      </c>
      <c r="C62" s="375">
        <f>IF(CERTIFICACIONES!$G26&gt;0,CERTIFICACIONES!B26,"")</f>
      </c>
      <c r="D62" s="376">
        <f>IF(CERTIFICACIONES!$C26&gt;0,CERTIFICACIONES!C26,"")</f>
      </c>
      <c r="E62" s="377">
        <f>IF(CERTIFICACIONES!F26&gt;0,CERTIFICACIONES!F26,"")</f>
      </c>
      <c r="F62" s="378">
        <f>IF(CERTIFICACIONES!G26&gt;0,CERTIFICACIONES!G26,"")</f>
      </c>
      <c r="G62" s="377">
        <f>IF(CERTIFICACIONES!G26&gt;0,CERTIFICACIONES!H26,"")</f>
      </c>
      <c r="H62" s="333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</row>
    <row r="63" spans="1:27" ht="12.75">
      <c r="A63" s="373"/>
      <c r="B63" s="262">
        <f>IF(CERTIFICACIONES!$G27&gt;0,CERTIFICACIONES!A27,"")</f>
      </c>
      <c r="C63" s="263">
        <f>IF(CERTIFICACIONES!$G27&gt;0,CERTIFICACIONES!B27,"")</f>
      </c>
      <c r="D63" s="264">
        <f>IF(CERTIFICACIONES!$C27&gt;0,CERTIFICACIONES!C27,"")</f>
      </c>
      <c r="E63" s="265">
        <f>IF(CERTIFICACIONES!F27&gt;0,CERTIFICACIONES!F27,"")</f>
      </c>
      <c r="F63" s="266">
        <f>IF(CERTIFICACIONES!G27&gt;0,CERTIFICACIONES!G27,"")</f>
      </c>
      <c r="G63" s="265">
        <f>IF(CERTIFICACIONES!G27&gt;0,CERTIFICACIONES!H27,"")</f>
      </c>
      <c r="H63" s="333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</row>
    <row r="64" spans="1:27" ht="12.75">
      <c r="A64" s="373"/>
      <c r="B64" s="374">
        <f>IF(CERTIFICACIONES!$G28&gt;0,CERTIFICACIONES!A28,"")</f>
      </c>
      <c r="C64" s="375">
        <f>IF(CERTIFICACIONES!$G28&gt;0,CERTIFICACIONES!B28,"")</f>
      </c>
      <c r="D64" s="376">
        <f>IF(CERTIFICACIONES!$C28&gt;0,CERTIFICACIONES!C28,"")</f>
      </c>
      <c r="E64" s="377">
        <f>IF(CERTIFICACIONES!F28&gt;0,CERTIFICACIONES!F28,"")</f>
      </c>
      <c r="F64" s="378">
        <f>IF(CERTIFICACIONES!G28&gt;0,CERTIFICACIONES!G28,"")</f>
      </c>
      <c r="G64" s="377">
        <f>IF(CERTIFICACIONES!G28&gt;0,CERTIFICACIONES!H28,"")</f>
      </c>
      <c r="H64" s="333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</row>
    <row r="65" spans="1:27" ht="12.75">
      <c r="A65" s="373"/>
      <c r="B65" s="262">
        <f>IF(CERTIFICACIONES!$G29&gt;0,CERTIFICACIONES!A29,"")</f>
      </c>
      <c r="C65" s="263">
        <f>IF(CERTIFICACIONES!$G29&gt;0,CERTIFICACIONES!B29,"")</f>
      </c>
      <c r="D65" s="264">
        <f>IF(CERTIFICACIONES!$C29&gt;0,CERTIFICACIONES!C29,"")</f>
      </c>
      <c r="E65" s="265">
        <f>IF(CERTIFICACIONES!F29&gt;0,CERTIFICACIONES!F29,"")</f>
      </c>
      <c r="F65" s="266">
        <f>IF(CERTIFICACIONES!G29&gt;0,CERTIFICACIONES!G29,"")</f>
      </c>
      <c r="G65" s="265">
        <f>IF(CERTIFICACIONES!G29&gt;0,CERTIFICACIONES!H29,"")</f>
      </c>
      <c r="H65" s="333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</row>
    <row r="66" spans="1:27" ht="12.75">
      <c r="A66" s="373"/>
      <c r="B66" s="374">
        <f>IF(CERTIFICACIONES!$G30&gt;0,CERTIFICACIONES!A30,"")</f>
      </c>
      <c r="C66" s="375">
        <f>IF(CERTIFICACIONES!$G30&gt;0,CERTIFICACIONES!B30,"")</f>
      </c>
      <c r="D66" s="376">
        <f>IF(CERTIFICACIONES!$C30&gt;0,CERTIFICACIONES!C30,"")</f>
      </c>
      <c r="E66" s="377">
        <f>IF(CERTIFICACIONES!F30&gt;0,CERTIFICACIONES!F30,"")</f>
      </c>
      <c r="F66" s="378">
        <f>IF(CERTIFICACIONES!G30&gt;0,CERTIFICACIONES!G30,"")</f>
      </c>
      <c r="G66" s="377">
        <f>IF(CERTIFICACIONES!G30&gt;0,CERTIFICACIONES!H30,"")</f>
      </c>
      <c r="H66" s="333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</row>
    <row r="67" spans="1:27" ht="12.75">
      <c r="A67" s="373"/>
      <c r="B67" s="262">
        <f>IF(CERTIFICACIONES!$G31&gt;0,CERTIFICACIONES!A31,"")</f>
      </c>
      <c r="C67" s="263">
        <f>IF(CERTIFICACIONES!$G31&gt;0,CERTIFICACIONES!B31,"")</f>
      </c>
      <c r="D67" s="264">
        <f>IF(CERTIFICACIONES!$C31&gt;0,CERTIFICACIONES!C31,"")</f>
      </c>
      <c r="E67" s="265">
        <f>IF(CERTIFICACIONES!F31&gt;0,CERTIFICACIONES!F31,"")</f>
      </c>
      <c r="F67" s="266">
        <f>IF(CERTIFICACIONES!G31&gt;0,CERTIFICACIONES!G31,"")</f>
      </c>
      <c r="G67" s="265">
        <f>IF(CERTIFICACIONES!G31&gt;0,CERTIFICACIONES!H31,"")</f>
      </c>
      <c r="H67" s="333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</row>
    <row r="68" spans="1:27" ht="12.75">
      <c r="A68" s="373"/>
      <c r="B68" s="374">
        <f>IF(CERTIFICACIONES!$G32&gt;0,CERTIFICACIONES!A32,"")</f>
      </c>
      <c r="C68" s="375">
        <f>IF(CERTIFICACIONES!$G32&gt;0,CERTIFICACIONES!B32,"")</f>
      </c>
      <c r="D68" s="376">
        <f>IF(CERTIFICACIONES!$C32&gt;0,CERTIFICACIONES!C32,"")</f>
      </c>
      <c r="E68" s="377">
        <f>IF(CERTIFICACIONES!F32&gt;0,CERTIFICACIONES!F32,"")</f>
      </c>
      <c r="F68" s="378">
        <f>IF(CERTIFICACIONES!G32&gt;0,CERTIFICACIONES!G32,"")</f>
      </c>
      <c r="G68" s="377">
        <f>IF(CERTIFICACIONES!G32&gt;0,CERTIFICACIONES!H32,"")</f>
      </c>
      <c r="H68" s="333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</row>
    <row r="69" spans="1:27" ht="12.75">
      <c r="A69" s="373"/>
      <c r="B69" s="262">
        <f>IF(CERTIFICACIONES!$G33&gt;0,CERTIFICACIONES!A33,"")</f>
      </c>
      <c r="C69" s="263">
        <f>IF(CERTIFICACIONES!$G33&gt;0,CERTIFICACIONES!B33,"")</f>
      </c>
      <c r="D69" s="264">
        <f>IF(CERTIFICACIONES!$C33&gt;0,CERTIFICACIONES!C33,"")</f>
      </c>
      <c r="E69" s="265">
        <f>IF(CERTIFICACIONES!F33&gt;0,CERTIFICACIONES!F33,"")</f>
      </c>
      <c r="F69" s="266">
        <f>IF(CERTIFICACIONES!G33&gt;0,CERTIFICACIONES!G33,"")</f>
      </c>
      <c r="G69" s="265">
        <f>IF(CERTIFICACIONES!G33&gt;0,CERTIFICACIONES!H33,"")</f>
      </c>
      <c r="H69" s="333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</row>
    <row r="70" spans="1:27" ht="12.75">
      <c r="A70" s="373"/>
      <c r="B70" s="374">
        <f>IF(CERTIFICACIONES!$G34&gt;0,CERTIFICACIONES!A34,"")</f>
      </c>
      <c r="C70" s="375">
        <f>IF(CERTIFICACIONES!$G34&gt;0,CERTIFICACIONES!B34,"")</f>
      </c>
      <c r="D70" s="376">
        <f>IF(CERTIFICACIONES!$C34&gt;0,CERTIFICACIONES!C34,"")</f>
      </c>
      <c r="E70" s="377">
        <f>IF(CERTIFICACIONES!F34&gt;0,CERTIFICACIONES!F34,"")</f>
      </c>
      <c r="F70" s="378">
        <f>IF(CERTIFICACIONES!G34&gt;0,CERTIFICACIONES!G34,"")</f>
      </c>
      <c r="G70" s="377">
        <f>IF(CERTIFICACIONES!G34&gt;0,CERTIFICACIONES!H34,"")</f>
      </c>
      <c r="H70" s="333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</row>
    <row r="71" spans="1:27" ht="12.75">
      <c r="A71" s="373"/>
      <c r="B71" s="262">
        <f>IF(CERTIFICACIONES!$G35&gt;0,CERTIFICACIONES!A35,"")</f>
      </c>
      <c r="C71" s="263">
        <f>IF(CERTIFICACIONES!$G35&gt;0,CERTIFICACIONES!B35,"")</f>
      </c>
      <c r="D71" s="264">
        <f>IF(CERTIFICACIONES!$C35&gt;0,CERTIFICACIONES!C35,"")</f>
      </c>
      <c r="E71" s="265">
        <f>IF(CERTIFICACIONES!F35&gt;0,CERTIFICACIONES!F35,"")</f>
      </c>
      <c r="F71" s="266">
        <f>IF(CERTIFICACIONES!G35&gt;0,CERTIFICACIONES!G35,"")</f>
      </c>
      <c r="G71" s="265">
        <f>IF(CERTIFICACIONES!G35&gt;0,CERTIFICACIONES!H35,"")</f>
      </c>
      <c r="H71" s="333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</row>
    <row r="72" spans="1:27" ht="12.75">
      <c r="A72" s="373"/>
      <c r="B72" s="374">
        <f>IF(CERTIFICACIONES!$G36&gt;0,CERTIFICACIONES!A36,"")</f>
      </c>
      <c r="C72" s="375">
        <f>IF(CERTIFICACIONES!$G36&gt;0,CERTIFICACIONES!B36,"")</f>
      </c>
      <c r="D72" s="376">
        <f>IF(CERTIFICACIONES!$C36&gt;0,CERTIFICACIONES!C36,"")</f>
      </c>
      <c r="E72" s="377">
        <f>IF(CERTIFICACIONES!F36&gt;0,CERTIFICACIONES!F36,"")</f>
      </c>
      <c r="F72" s="378">
        <f>IF(CERTIFICACIONES!G36&gt;0,CERTIFICACIONES!G36,"")</f>
      </c>
      <c r="G72" s="377">
        <f>IF(CERTIFICACIONES!G36&gt;0,CERTIFICACIONES!H36,"")</f>
      </c>
      <c r="H72" s="333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</row>
    <row r="73" spans="1:27" ht="12.75">
      <c r="A73" s="373"/>
      <c r="B73" s="262">
        <f>IF(CERTIFICACIONES!$G37&gt;0,CERTIFICACIONES!A37,"")</f>
      </c>
      <c r="C73" s="263">
        <f>IF(CERTIFICACIONES!$G37&gt;0,CERTIFICACIONES!B37,"")</f>
      </c>
      <c r="D73" s="264">
        <f>IF(CERTIFICACIONES!$C37&gt;0,CERTIFICACIONES!C37,"")</f>
      </c>
      <c r="E73" s="265">
        <f>IF(CERTIFICACIONES!F37&gt;0,CERTIFICACIONES!F37,"")</f>
      </c>
      <c r="F73" s="266">
        <f>IF(CERTIFICACIONES!G37&gt;0,CERTIFICACIONES!G37,"")</f>
      </c>
      <c r="G73" s="265">
        <f>IF(CERTIFICACIONES!G37&gt;0,CERTIFICACIONES!H37,"")</f>
      </c>
      <c r="H73" s="333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</row>
    <row r="74" spans="1:27" ht="12.75">
      <c r="A74" s="373"/>
      <c r="B74" s="374">
        <f>IF(CERTIFICACIONES!$G38&gt;0,CERTIFICACIONES!A38,"")</f>
      </c>
      <c r="C74" s="375">
        <f>IF(CERTIFICACIONES!$G38&gt;0,CERTIFICACIONES!B38,"")</f>
      </c>
      <c r="D74" s="376">
        <f>IF(CERTIFICACIONES!$C38&gt;0,CERTIFICACIONES!C38,"")</f>
      </c>
      <c r="E74" s="377">
        <f>IF(CERTIFICACIONES!F38&gt;0,CERTIFICACIONES!F38,"")</f>
      </c>
      <c r="F74" s="378">
        <f>IF(CERTIFICACIONES!G38&gt;0,CERTIFICACIONES!G38,"")</f>
      </c>
      <c r="G74" s="377">
        <f>IF(CERTIFICACIONES!G38&gt;0,CERTIFICACIONES!H38,"")</f>
      </c>
      <c r="H74" s="333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</row>
    <row r="75" spans="1:27" ht="12.75">
      <c r="A75" s="373"/>
      <c r="B75" s="262">
        <f>IF(CERTIFICACIONES!$G39&gt;0,CERTIFICACIONES!A39,"")</f>
      </c>
      <c r="C75" s="263">
        <f>IF(CERTIFICACIONES!$G39&gt;0,CERTIFICACIONES!B39,"")</f>
      </c>
      <c r="D75" s="264">
        <f>IF(CERTIFICACIONES!$C39&gt;0,CERTIFICACIONES!C39,"")</f>
      </c>
      <c r="E75" s="265">
        <f>IF(CERTIFICACIONES!F39&gt;0,CERTIFICACIONES!F39,"")</f>
      </c>
      <c r="F75" s="266">
        <f>IF(CERTIFICACIONES!G39&gt;0,CERTIFICACIONES!G39,"")</f>
      </c>
      <c r="G75" s="265">
        <f>IF(CERTIFICACIONES!G39&gt;0,CERTIFICACIONES!H39,"")</f>
      </c>
      <c r="H75" s="333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</row>
    <row r="76" spans="1:27" ht="12.75">
      <c r="A76" s="373"/>
      <c r="B76" s="374">
        <f>IF(CERTIFICACIONES!$G40&gt;0,CERTIFICACIONES!A40,"")</f>
      </c>
      <c r="C76" s="375">
        <f>IF(CERTIFICACIONES!$G40&gt;0,CERTIFICACIONES!B40,"")</f>
      </c>
      <c r="D76" s="376">
        <f>IF(CERTIFICACIONES!$C40&gt;0,CERTIFICACIONES!C40,"")</f>
      </c>
      <c r="E76" s="377">
        <f>IF(CERTIFICACIONES!F40&gt;0,CERTIFICACIONES!F40,"")</f>
      </c>
      <c r="F76" s="378">
        <f>IF(CERTIFICACIONES!G40&gt;0,CERTIFICACIONES!G40,"")</f>
      </c>
      <c r="G76" s="377">
        <f>IF(CERTIFICACIONES!G40&gt;0,CERTIFICACIONES!H40,"")</f>
      </c>
      <c r="H76" s="333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</row>
    <row r="77" spans="1:27" ht="12.75">
      <c r="A77" s="373"/>
      <c r="B77" s="262">
        <f>IF(CERTIFICACIONES!$G41&gt;0,CERTIFICACIONES!A41,"")</f>
      </c>
      <c r="C77" s="263">
        <f>IF(CERTIFICACIONES!$G41&gt;0,CERTIFICACIONES!B41,"")</f>
      </c>
      <c r="D77" s="264">
        <f>IF(CERTIFICACIONES!$C41&gt;0,CERTIFICACIONES!C41,"")</f>
      </c>
      <c r="E77" s="265">
        <f>IF(CERTIFICACIONES!F41&gt;0,CERTIFICACIONES!F41,"")</f>
      </c>
      <c r="F77" s="266">
        <f>IF(CERTIFICACIONES!G41&gt;0,CERTIFICACIONES!G41,"")</f>
      </c>
      <c r="G77" s="265">
        <f>IF(CERTIFICACIONES!G41&gt;0,CERTIFICACIONES!H41,"")</f>
      </c>
      <c r="H77" s="333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</row>
    <row r="78" spans="1:27" ht="12.75">
      <c r="A78" s="373"/>
      <c r="B78" s="374">
        <f>IF(CERTIFICACIONES!$G42&gt;0,CERTIFICACIONES!A42,"")</f>
      </c>
      <c r="C78" s="375">
        <f>IF(CERTIFICACIONES!$G42&gt;0,CERTIFICACIONES!B42,"")</f>
      </c>
      <c r="D78" s="376">
        <f>IF(CERTIFICACIONES!$C42&gt;0,CERTIFICACIONES!C42,"")</f>
      </c>
      <c r="E78" s="377">
        <f>IF(CERTIFICACIONES!F42&gt;0,CERTIFICACIONES!F42,"")</f>
      </c>
      <c r="F78" s="378">
        <f>IF(CERTIFICACIONES!G42&gt;0,CERTIFICACIONES!G42,"")</f>
      </c>
      <c r="G78" s="377">
        <f>IF(CERTIFICACIONES!G42&gt;0,CERTIFICACIONES!H42,"")</f>
      </c>
      <c r="H78" s="333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</row>
    <row r="79" spans="1:27" ht="12.75">
      <c r="A79" s="373"/>
      <c r="B79" s="262">
        <f>IF(CERTIFICACIONES!$G43&gt;0,CERTIFICACIONES!A43,"")</f>
      </c>
      <c r="C79" s="263">
        <f>IF(CERTIFICACIONES!$G43&gt;0,CERTIFICACIONES!B43,"")</f>
      </c>
      <c r="D79" s="264">
        <f>IF(CERTIFICACIONES!$C43&gt;0,CERTIFICACIONES!C43,"")</f>
      </c>
      <c r="E79" s="265">
        <f>IF(CERTIFICACIONES!F43&gt;0,CERTIFICACIONES!F43,"")</f>
      </c>
      <c r="F79" s="266">
        <f>IF(CERTIFICACIONES!G43&gt;0,CERTIFICACIONES!G43,"")</f>
      </c>
      <c r="G79" s="265">
        <f>IF(CERTIFICACIONES!G43&gt;0,CERTIFICACIONES!H43,"")</f>
      </c>
      <c r="H79" s="333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</row>
    <row r="80" spans="1:27" ht="12.75">
      <c r="A80" s="373"/>
      <c r="B80" s="374">
        <f>IF(CERTIFICACIONES!$G44&gt;0,CERTIFICACIONES!A44,"")</f>
      </c>
      <c r="C80" s="375">
        <f>IF(CERTIFICACIONES!$G44&gt;0,CERTIFICACIONES!B44,"")</f>
      </c>
      <c r="D80" s="376">
        <f>IF(CERTIFICACIONES!$C44&gt;0,CERTIFICACIONES!C44,"")</f>
      </c>
      <c r="E80" s="377">
        <f>IF(CERTIFICACIONES!F44&gt;0,CERTIFICACIONES!F44,"")</f>
      </c>
      <c r="F80" s="378">
        <f>IF(CERTIFICACIONES!G44&gt;0,CERTIFICACIONES!G44,"")</f>
      </c>
      <c r="G80" s="377">
        <f>IF(CERTIFICACIONES!G44&gt;0,CERTIFICACIONES!H44,"")</f>
      </c>
      <c r="H80" s="333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</row>
    <row r="81" spans="1:27" ht="12.75">
      <c r="A81" s="373"/>
      <c r="B81" s="262">
        <f>IF(CERTIFICACIONES!$G45&gt;0,CERTIFICACIONES!A45,"")</f>
      </c>
      <c r="C81" s="263">
        <f>IF(CERTIFICACIONES!$G45&gt;0,CERTIFICACIONES!B45,"")</f>
      </c>
      <c r="D81" s="264">
        <f>IF(CERTIFICACIONES!$C45&gt;0,CERTIFICACIONES!C45,"")</f>
      </c>
      <c r="E81" s="265">
        <f>IF(CERTIFICACIONES!F45&gt;0,CERTIFICACIONES!F45,"")</f>
      </c>
      <c r="F81" s="266">
        <f>IF(CERTIFICACIONES!G45&gt;0,CERTIFICACIONES!G45,"")</f>
      </c>
      <c r="G81" s="265">
        <f>IF(CERTIFICACIONES!G45&gt;0,CERTIFICACIONES!H45,"")</f>
      </c>
      <c r="H81" s="333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</row>
    <row r="82" spans="1:27" ht="12.75">
      <c r="A82" s="369"/>
      <c r="B82" s="374">
        <f>IF(CERTIFICACIONES!$G46&gt;0,CERTIFICACIONES!A46,"")</f>
      </c>
      <c r="C82" s="375">
        <f>IF(CERTIFICACIONES!$G46&gt;0,CERTIFICACIONES!B46,"")</f>
      </c>
      <c r="D82" s="376">
        <f>IF(CERTIFICACIONES!$C46&gt;0,CERTIFICACIONES!C46,"")</f>
      </c>
      <c r="E82" s="377">
        <f>IF(CERTIFICACIONES!F46&gt;0,CERTIFICACIONES!F46,"")</f>
      </c>
      <c r="F82" s="378">
        <f>IF(CERTIFICACIONES!G46&gt;0,CERTIFICACIONES!G46,"")</f>
      </c>
      <c r="G82" s="377">
        <f>IF(CERTIFICACIONES!G46&gt;0,CERTIFICACIONES!H46,"")</f>
      </c>
      <c r="H82" s="333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</row>
    <row r="83" spans="1:27" ht="12.75">
      <c r="A83" s="369"/>
      <c r="B83" s="262">
        <f>IF(CERTIFICACIONES!$G47&gt;0,CERTIFICACIONES!A47,"")</f>
      </c>
      <c r="C83" s="263">
        <f>IF(CERTIFICACIONES!$G47&gt;0,CERTIFICACIONES!B47,"")</f>
      </c>
      <c r="D83" s="264">
        <f>IF(CERTIFICACIONES!$C47&gt;0,CERTIFICACIONES!C47,"")</f>
      </c>
      <c r="E83" s="265">
        <f>IF(CERTIFICACIONES!F47&gt;0,CERTIFICACIONES!F47,"")</f>
      </c>
      <c r="F83" s="266">
        <f>IF(CERTIFICACIONES!G47&gt;0,CERTIFICACIONES!G47,"")</f>
      </c>
      <c r="G83" s="265">
        <f>IF(CERTIFICACIONES!G47&gt;0,CERTIFICACIONES!H47,"")</f>
      </c>
      <c r="H83" s="333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</row>
    <row r="84" spans="1:27" ht="12.75">
      <c r="A84" s="369"/>
      <c r="B84" s="374">
        <f>IF(CERTIFICACIONES!$G48&gt;0,CERTIFICACIONES!A48,"")</f>
      </c>
      <c r="C84" s="375">
        <f>IF(CERTIFICACIONES!$G48&gt;0,CERTIFICACIONES!B48,"")</f>
      </c>
      <c r="D84" s="376">
        <f>IF(CERTIFICACIONES!$C48&gt;0,CERTIFICACIONES!C48,"")</f>
      </c>
      <c r="E84" s="377">
        <f>IF(CERTIFICACIONES!F48&gt;0,CERTIFICACIONES!F48,"")</f>
      </c>
      <c r="F84" s="378">
        <f>IF(CERTIFICACIONES!G48&gt;0,CERTIFICACIONES!G48,"")</f>
      </c>
      <c r="G84" s="377">
        <f>IF(CERTIFICACIONES!G48&gt;0,CERTIFICACIONES!H48,"")</f>
      </c>
      <c r="H84" s="333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</row>
    <row r="85" spans="1:27" ht="12.75">
      <c r="A85" s="369"/>
      <c r="B85" s="262">
        <f>IF(CERTIFICACIONES!$G49&gt;0,CERTIFICACIONES!A49,"")</f>
      </c>
      <c r="C85" s="263">
        <f>IF(CERTIFICACIONES!$G49&gt;0,CERTIFICACIONES!B49,"")</f>
      </c>
      <c r="D85" s="264">
        <f>IF(CERTIFICACIONES!$C49&gt;0,CERTIFICACIONES!C49,"")</f>
      </c>
      <c r="E85" s="265">
        <f>IF(CERTIFICACIONES!F49&gt;0,CERTIFICACIONES!F49,"")</f>
      </c>
      <c r="F85" s="266">
        <f>IF(CERTIFICACIONES!G49&gt;0,CERTIFICACIONES!G49,"")</f>
      </c>
      <c r="G85" s="265">
        <f>IF(CERTIFICACIONES!G49&gt;0,CERTIFICACIONES!H49,"")</f>
      </c>
      <c r="H85" s="333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</row>
    <row r="86" spans="1:27" ht="12.75">
      <c r="A86" s="369"/>
      <c r="B86" s="374">
        <f>IF(CERTIFICACIONES!$G50&gt;0,CERTIFICACIONES!A50,"")</f>
      </c>
      <c r="C86" s="375">
        <f>IF(CERTIFICACIONES!$G50&gt;0,CERTIFICACIONES!B50,"")</f>
      </c>
      <c r="D86" s="376">
        <f>IF(CERTIFICACIONES!$C50&gt;0,CERTIFICACIONES!C50,"")</f>
      </c>
      <c r="E86" s="377">
        <f>IF(CERTIFICACIONES!F50&gt;0,CERTIFICACIONES!F50,"")</f>
      </c>
      <c r="F86" s="378">
        <f>IF(CERTIFICACIONES!G50&gt;0,CERTIFICACIONES!G50,"")</f>
      </c>
      <c r="G86" s="377">
        <f>IF(CERTIFICACIONES!G50&gt;0,CERTIFICACIONES!H50,"")</f>
      </c>
      <c r="H86" s="333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</row>
    <row r="87" spans="1:27" ht="12.75">
      <c r="A87" s="369"/>
      <c r="B87" s="262">
        <f>IF(CERTIFICACIONES!$G51&gt;0,CERTIFICACIONES!A51,"")</f>
      </c>
      <c r="C87" s="263">
        <f>IF(CERTIFICACIONES!$G51&gt;0,CERTIFICACIONES!B51,"")</f>
      </c>
      <c r="D87" s="264">
        <f>IF(CERTIFICACIONES!$C51&gt;0,CERTIFICACIONES!C51,"")</f>
      </c>
      <c r="E87" s="265">
        <f>IF(CERTIFICACIONES!F51&gt;0,CERTIFICACIONES!F51,"")</f>
      </c>
      <c r="F87" s="266">
        <f>IF(CERTIFICACIONES!G51&gt;0,CERTIFICACIONES!G51,"")</f>
      </c>
      <c r="G87" s="265">
        <f>IF(CERTIFICACIONES!G51&gt;0,CERTIFICACIONES!H51,"")</f>
      </c>
      <c r="H87" s="333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</row>
    <row r="88" spans="1:27" ht="12.75">
      <c r="A88" s="369"/>
      <c r="B88" s="374">
        <f>IF(CERTIFICACIONES!$G52&gt;0,CERTIFICACIONES!A52,"")</f>
      </c>
      <c r="C88" s="375">
        <f>IF(CERTIFICACIONES!$G52&gt;0,CERTIFICACIONES!B52,"")</f>
      </c>
      <c r="D88" s="376">
        <f>IF(CERTIFICACIONES!$C52&gt;0,CERTIFICACIONES!C52,"")</f>
      </c>
      <c r="E88" s="377">
        <f>IF(CERTIFICACIONES!F52&gt;0,CERTIFICACIONES!F52,"")</f>
      </c>
      <c r="F88" s="378">
        <f>IF(CERTIFICACIONES!G52&gt;0,CERTIFICACIONES!G52,"")</f>
      </c>
      <c r="G88" s="377">
        <f>IF(CERTIFICACIONES!G52&gt;0,CERTIFICACIONES!H52,"")</f>
      </c>
      <c r="H88" s="333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</row>
    <row r="89" spans="1:27" ht="12.75">
      <c r="A89" s="369"/>
      <c r="B89" s="262">
        <f>IF(CERTIFICACIONES!$G53&gt;0,CERTIFICACIONES!A53,"")</f>
      </c>
      <c r="C89" s="263">
        <f>IF(CERTIFICACIONES!$G53&gt;0,CERTIFICACIONES!B53,"")</f>
      </c>
      <c r="D89" s="264">
        <f>IF(CERTIFICACIONES!$C53&gt;0,CERTIFICACIONES!C53,"")</f>
      </c>
      <c r="E89" s="265">
        <f>IF(CERTIFICACIONES!F53&gt;0,CERTIFICACIONES!F53,"")</f>
      </c>
      <c r="F89" s="266">
        <f>IF(CERTIFICACIONES!G53&gt;0,CERTIFICACIONES!G53,"")</f>
      </c>
      <c r="G89" s="265">
        <f>IF(CERTIFICACIONES!G53&gt;0,CERTIFICACIONES!H53,"")</f>
      </c>
      <c r="H89" s="333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</row>
    <row r="90" spans="1:27" ht="12.75">
      <c r="A90" s="369"/>
      <c r="B90" s="374">
        <f>IF(CERTIFICACIONES!$G54&gt;0,CERTIFICACIONES!A54,"")</f>
      </c>
      <c r="C90" s="375">
        <f>IF(CERTIFICACIONES!$G54&gt;0,CERTIFICACIONES!B54,"")</f>
      </c>
      <c r="D90" s="376">
        <f>IF(CERTIFICACIONES!$C54&gt;0,CERTIFICACIONES!C54,"")</f>
      </c>
      <c r="E90" s="377">
        <f>IF(CERTIFICACIONES!F54&gt;0,CERTIFICACIONES!F54,"")</f>
      </c>
      <c r="F90" s="378">
        <f>IF(CERTIFICACIONES!G54&gt;0,CERTIFICACIONES!G54,"")</f>
      </c>
      <c r="G90" s="377">
        <f>IF(CERTIFICACIONES!G54&gt;0,CERTIFICACIONES!H54,"")</f>
      </c>
      <c r="H90" s="333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</row>
    <row r="91" spans="1:27" ht="12.75">
      <c r="A91" s="369"/>
      <c r="B91" s="374"/>
      <c r="C91" s="375"/>
      <c r="D91" s="376"/>
      <c r="E91" s="377"/>
      <c r="F91" s="378"/>
      <c r="G91" s="377"/>
      <c r="H91" s="333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</row>
    <row r="92" spans="1:27" ht="12.75">
      <c r="A92" s="369"/>
      <c r="B92" s="374"/>
      <c r="C92" s="375"/>
      <c r="D92" s="376"/>
      <c r="E92" s="377"/>
      <c r="F92" s="378"/>
      <c r="G92" s="377"/>
      <c r="H92" s="333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</row>
    <row r="93" spans="1:27" ht="12.75">
      <c r="A93" s="369"/>
      <c r="B93" s="374"/>
      <c r="C93" s="375"/>
      <c r="D93" s="376"/>
      <c r="E93" s="377"/>
      <c r="F93" s="378"/>
      <c r="G93" s="377"/>
      <c r="H93" s="333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</row>
    <row r="94" spans="1:27" ht="12.75">
      <c r="A94" s="369"/>
      <c r="B94" s="374"/>
      <c r="C94" s="375"/>
      <c r="D94" s="376"/>
      <c r="E94" s="377"/>
      <c r="F94" s="378"/>
      <c r="G94" s="377"/>
      <c r="H94" s="333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</row>
    <row r="95" spans="1:27" ht="19.5" customHeight="1">
      <c r="A95" s="755" t="str">
        <f>CONCATENATE("Revisión de precios correspondiente a la FÓRMULA Nº ",FÓRMULAS!C8)</f>
        <v>Revisión de precios correspondiente a la FÓRMULA Nº 1</v>
      </c>
      <c r="B95" s="755"/>
      <c r="C95" s="755"/>
      <c r="D95" s="755"/>
      <c r="E95" s="755"/>
      <c r="F95" s="747" t="str">
        <f>D9</f>
        <v>Introduzca el título y clave de la obra</v>
      </c>
      <c r="G95" s="748"/>
      <c r="H95" s="388" t="s">
        <v>212</v>
      </c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</row>
    <row r="96" spans="1:27" ht="12.75">
      <c r="A96" s="504"/>
      <c r="B96" s="749" t="str">
        <f>'CÁLCULO REVISIÓN'!D133</f>
        <v>Kt 1ªfórm</v>
      </c>
      <c r="C96" s="749" t="str">
        <f>'CÁLCULO REVISIÓN'!E133</f>
        <v>Certif. Rev</v>
      </c>
      <c r="D96" s="749" t="str">
        <f>'CÁLCULO REVISIÓN'!F133</f>
        <v>Certificación</v>
      </c>
      <c r="E96" s="751" t="str">
        <f>'CÁLCULO REVISIÓN'!G133</f>
        <v>Certificación Revisada</v>
      </c>
      <c r="F96" s="751" t="str">
        <f>'CÁLCULO REVISIÓN'!I133</f>
        <v>Importe de la revisión</v>
      </c>
      <c r="G96" s="334"/>
      <c r="H96" s="334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</row>
    <row r="97" spans="1:27" ht="12.75">
      <c r="A97" s="504"/>
      <c r="B97" s="750"/>
      <c r="C97" s="750"/>
      <c r="D97" s="750"/>
      <c r="E97" s="752"/>
      <c r="F97" s="752"/>
      <c r="G97" s="334"/>
      <c r="H97" s="334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</row>
    <row r="98" spans="1:27" ht="12.75">
      <c r="A98" s="334"/>
      <c r="B98" s="379">
        <f>IF('CÁLCULO REVISIÓN'!$E134&gt;AUXILIAR!$G$39,"",'CÁLCULO REVISIÓN'!D134)</f>
      </c>
      <c r="C98" s="380">
        <f>IF('CÁLCULO REVISIÓN'!$E134&gt;AUXILIAR!$G$39,"",'CÁLCULO REVISIÓN'!E134)</f>
      </c>
      <c r="D98" s="381">
        <f>IF('CÁLCULO REVISIÓN'!$E134&gt;AUXILIAR!$G$39,"",'CÁLCULO REVISIÓN'!F134)</f>
      </c>
      <c r="E98" s="381">
        <f>IF('CÁLCULO REVISIÓN'!$E134&gt;AUXILIAR!$G$39,"",'CÁLCULO REVISIÓN'!G134)</f>
      </c>
      <c r="F98" s="381">
        <f>IF('CÁLCULO REVISIÓN'!$E134&gt;AUXILIAR!$G$39,"",'CÁLCULO REVISIÓN'!I134)</f>
      </c>
      <c r="G98" s="756" t="s">
        <v>345</v>
      </c>
      <c r="H98" s="334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</row>
    <row r="99" spans="1:27" ht="12.75">
      <c r="A99" s="334"/>
      <c r="B99" s="379">
        <f>IF('CÁLCULO REVISIÓN'!$E135&gt;AUXILIAR!$G$39,"",'CÁLCULO REVISIÓN'!D135)</f>
      </c>
      <c r="C99" s="380">
        <f>IF('CÁLCULO REVISIÓN'!$E135&gt;AUXILIAR!$G$39,"",'CÁLCULO REVISIÓN'!E135)</f>
      </c>
      <c r="D99" s="381">
        <f>IF('CÁLCULO REVISIÓN'!$E135&gt;AUXILIAR!$G$39,"",'CÁLCULO REVISIÓN'!F135)</f>
      </c>
      <c r="E99" s="381">
        <f>IF('CÁLCULO REVISIÓN'!$E135&gt;AUXILIAR!$G$39,"",'CÁLCULO REVISIÓN'!G135)</f>
      </c>
      <c r="F99" s="381">
        <f>IF('CÁLCULO REVISIÓN'!$E135&gt;AUXILIAR!$G$39,"",'CÁLCULO REVISIÓN'!I135)</f>
      </c>
      <c r="G99" s="756"/>
      <c r="H99" s="334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</row>
    <row r="100" spans="1:27" ht="12.75">
      <c r="A100" s="334"/>
      <c r="B100" s="379">
        <f>IF('CÁLCULO REVISIÓN'!$E136&gt;AUXILIAR!$G$39,"",'CÁLCULO REVISIÓN'!D136)</f>
      </c>
      <c r="C100" s="380">
        <f>IF('CÁLCULO REVISIÓN'!$E136&gt;AUXILIAR!$G$39,"",'CÁLCULO REVISIÓN'!E136)</f>
      </c>
      <c r="D100" s="381">
        <f>IF('CÁLCULO REVISIÓN'!$E136&gt;AUXILIAR!$G$39,"",'CÁLCULO REVISIÓN'!F136)</f>
      </c>
      <c r="E100" s="381">
        <f>IF('CÁLCULO REVISIÓN'!$E136&gt;AUXILIAR!$G$39,"",'CÁLCULO REVISIÓN'!G136)</f>
      </c>
      <c r="F100" s="381">
        <f>IF('CÁLCULO REVISIÓN'!$E136&gt;AUXILIAR!$G$39,"",'CÁLCULO REVISIÓN'!I136)</f>
      </c>
      <c r="G100" s="756"/>
      <c r="H100" s="334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</row>
    <row r="101" spans="1:27" ht="12.75">
      <c r="A101" s="334"/>
      <c r="B101" s="379">
        <f>IF('CÁLCULO REVISIÓN'!$E137&gt;AUXILIAR!$G$39,"",'CÁLCULO REVISIÓN'!D137)</f>
      </c>
      <c r="C101" s="380">
        <f>IF('CÁLCULO REVISIÓN'!$E137&gt;AUXILIAR!$G$39,"",'CÁLCULO REVISIÓN'!E137)</f>
      </c>
      <c r="D101" s="381">
        <f>IF('CÁLCULO REVISIÓN'!$E137&gt;AUXILIAR!$G$39,"",'CÁLCULO REVISIÓN'!F137)</f>
      </c>
      <c r="E101" s="381">
        <f>IF('CÁLCULO REVISIÓN'!$E137&gt;AUXILIAR!$G$39,"",'CÁLCULO REVISIÓN'!G137)</f>
      </c>
      <c r="F101" s="381">
        <f>IF('CÁLCULO REVISIÓN'!$E137&gt;AUXILIAR!$G$39,"",'CÁLCULO REVISIÓN'!I137)</f>
      </c>
      <c r="G101" s="756"/>
      <c r="H101" s="334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</row>
    <row r="102" spans="1:27" ht="12.75">
      <c r="A102" s="334"/>
      <c r="B102" s="379">
        <f>IF('CÁLCULO REVISIÓN'!$E138&gt;AUXILIAR!$G$39,"",'CÁLCULO REVISIÓN'!D138)</f>
      </c>
      <c r="C102" s="380">
        <f>IF('CÁLCULO REVISIÓN'!$E138&gt;AUXILIAR!$G$39,"",'CÁLCULO REVISIÓN'!E138)</f>
      </c>
      <c r="D102" s="381">
        <f>IF('CÁLCULO REVISIÓN'!$E138&gt;AUXILIAR!$G$39,"",'CÁLCULO REVISIÓN'!F138)</f>
      </c>
      <c r="E102" s="381">
        <f>IF('CÁLCULO REVISIÓN'!$E138&gt;AUXILIAR!$G$39,"",'CÁLCULO REVISIÓN'!G138)</f>
      </c>
      <c r="F102" s="381">
        <f>IF('CÁLCULO REVISIÓN'!$E138&gt;AUXILIAR!$G$39,"",'CÁLCULO REVISIÓN'!I138)</f>
      </c>
      <c r="G102" s="756"/>
      <c r="H102" s="334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</row>
    <row r="103" spans="1:27" ht="12.75">
      <c r="A103" s="334"/>
      <c r="B103" s="379">
        <f>IF('CÁLCULO REVISIÓN'!$E139&gt;AUXILIAR!$G$39,"",'CÁLCULO REVISIÓN'!D139)</f>
      </c>
      <c r="C103" s="380">
        <f>IF('CÁLCULO REVISIÓN'!$E139&gt;AUXILIAR!$G$39,"",'CÁLCULO REVISIÓN'!E139)</f>
      </c>
      <c r="D103" s="381">
        <f>IF('CÁLCULO REVISIÓN'!$E139&gt;AUXILIAR!$G$39,"",'CÁLCULO REVISIÓN'!F139)</f>
      </c>
      <c r="E103" s="381">
        <f>IF('CÁLCULO REVISIÓN'!$E139&gt;AUXILIAR!$G$39,"",'CÁLCULO REVISIÓN'!G139)</f>
      </c>
      <c r="F103" s="381">
        <f>IF('CÁLCULO REVISIÓN'!$E139&gt;AUXILIAR!$G$39,"",'CÁLCULO REVISIÓN'!I139)</f>
      </c>
      <c r="G103" s="756"/>
      <c r="H103" s="334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</row>
    <row r="104" spans="1:27" ht="12.75">
      <c r="A104" s="334"/>
      <c r="B104" s="379">
        <f>IF('CÁLCULO REVISIÓN'!$E140&gt;AUXILIAR!$G$39,"",'CÁLCULO REVISIÓN'!D140)</f>
      </c>
      <c r="C104" s="380">
        <f>IF('CÁLCULO REVISIÓN'!$E140&gt;AUXILIAR!$G$39,"",'CÁLCULO REVISIÓN'!E140)</f>
      </c>
      <c r="D104" s="381">
        <f>IF('CÁLCULO REVISIÓN'!$E140&gt;AUXILIAR!$G$39,"",'CÁLCULO REVISIÓN'!F140)</f>
      </c>
      <c r="E104" s="381">
        <f>IF('CÁLCULO REVISIÓN'!$E140&gt;AUXILIAR!$G$39,"",'CÁLCULO REVISIÓN'!G140)</f>
      </c>
      <c r="F104" s="381">
        <f>IF('CÁLCULO REVISIÓN'!$E140&gt;AUXILIAR!$G$39,"",'CÁLCULO REVISIÓN'!I140)</f>
      </c>
      <c r="G104" s="756"/>
      <c r="H104" s="334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</row>
    <row r="105" spans="1:27" ht="12.75">
      <c r="A105" s="334"/>
      <c r="B105" s="379">
        <f>IF('CÁLCULO REVISIÓN'!$E141&gt;AUXILIAR!$G$39,"",'CÁLCULO REVISIÓN'!D141)</f>
      </c>
      <c r="C105" s="380">
        <f>IF('CÁLCULO REVISIÓN'!$E141&gt;AUXILIAR!$G$39,"",'CÁLCULO REVISIÓN'!E141)</f>
      </c>
      <c r="D105" s="381">
        <f>IF('CÁLCULO REVISIÓN'!$E141&gt;AUXILIAR!$G$39,"",'CÁLCULO REVISIÓN'!F141)</f>
      </c>
      <c r="E105" s="381">
        <f>IF('CÁLCULO REVISIÓN'!$E141&gt;AUXILIAR!$G$39,"",'CÁLCULO REVISIÓN'!G141)</f>
      </c>
      <c r="F105" s="381">
        <f>IF('CÁLCULO REVISIÓN'!$E141&gt;AUXILIAR!$G$39,"",'CÁLCULO REVISIÓN'!I141)</f>
      </c>
      <c r="G105" s="756"/>
      <c r="H105" s="334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</row>
    <row r="106" spans="1:27" ht="12.75">
      <c r="A106" s="334"/>
      <c r="B106" s="379">
        <f>IF('CÁLCULO REVISIÓN'!$E142&gt;AUXILIAR!$G$39,"",'CÁLCULO REVISIÓN'!D142)</f>
      </c>
      <c r="C106" s="380">
        <f>IF('CÁLCULO REVISIÓN'!$E142&gt;AUXILIAR!$G$39,"",'CÁLCULO REVISIÓN'!E142)</f>
      </c>
      <c r="D106" s="381">
        <f>IF('CÁLCULO REVISIÓN'!$E142&gt;AUXILIAR!$G$39,"",'CÁLCULO REVISIÓN'!F142)</f>
      </c>
      <c r="E106" s="381">
        <f>IF('CÁLCULO REVISIÓN'!$E142&gt;AUXILIAR!$G$39,"",'CÁLCULO REVISIÓN'!G142)</f>
      </c>
      <c r="F106" s="381">
        <f>IF('CÁLCULO REVISIÓN'!$E142&gt;AUXILIAR!$G$39,"",'CÁLCULO REVISIÓN'!I142)</f>
      </c>
      <c r="G106" s="756"/>
      <c r="H106" s="334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</row>
    <row r="107" spans="1:27" ht="12.75">
      <c r="A107" s="334"/>
      <c r="B107" s="379">
        <f>IF('CÁLCULO REVISIÓN'!$E143&gt;AUXILIAR!$G$39,"",'CÁLCULO REVISIÓN'!D143)</f>
      </c>
      <c r="C107" s="380">
        <f>IF('CÁLCULO REVISIÓN'!$E143&gt;AUXILIAR!$G$39,"",'CÁLCULO REVISIÓN'!E143)</f>
      </c>
      <c r="D107" s="381">
        <f>IF('CÁLCULO REVISIÓN'!$E143&gt;AUXILIAR!$G$39,"",'CÁLCULO REVISIÓN'!F143)</f>
      </c>
      <c r="E107" s="381">
        <f>IF('CÁLCULO REVISIÓN'!$E143&gt;AUXILIAR!$G$39,"",'CÁLCULO REVISIÓN'!G143)</f>
      </c>
      <c r="F107" s="381">
        <f>IF('CÁLCULO REVISIÓN'!$E143&gt;AUXILIAR!$G$39,"",'CÁLCULO REVISIÓN'!I143)</f>
      </c>
      <c r="G107" s="756"/>
      <c r="H107" s="334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</row>
    <row r="108" spans="1:27" ht="12.75">
      <c r="A108" s="334"/>
      <c r="B108" s="379">
        <f>IF('CÁLCULO REVISIÓN'!$E144&gt;AUXILIAR!$G$39,"",'CÁLCULO REVISIÓN'!D144)</f>
      </c>
      <c r="C108" s="380">
        <f>IF('CÁLCULO REVISIÓN'!$E144&gt;AUXILIAR!$G$39,"",'CÁLCULO REVISIÓN'!E144)</f>
      </c>
      <c r="D108" s="381">
        <f>IF('CÁLCULO REVISIÓN'!$E144&gt;AUXILIAR!$G$39,"",'CÁLCULO REVISIÓN'!F144)</f>
      </c>
      <c r="E108" s="381">
        <f>IF('CÁLCULO REVISIÓN'!$E144&gt;AUXILIAR!$G$39,"",'CÁLCULO REVISIÓN'!G144)</f>
      </c>
      <c r="F108" s="381">
        <f>IF('CÁLCULO REVISIÓN'!$E144&gt;AUXILIAR!$G$39,"",'CÁLCULO REVISIÓN'!I144)</f>
      </c>
      <c r="G108" s="756"/>
      <c r="H108" s="334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</row>
    <row r="109" spans="1:27" ht="12.75">
      <c r="A109" s="334"/>
      <c r="B109" s="379">
        <f>IF('CÁLCULO REVISIÓN'!$E145&gt;AUXILIAR!$G$39,"",'CÁLCULO REVISIÓN'!D145)</f>
      </c>
      <c r="C109" s="380">
        <f>IF('CÁLCULO REVISIÓN'!$E145&gt;AUXILIAR!$G$39,"",'CÁLCULO REVISIÓN'!E145)</f>
      </c>
      <c r="D109" s="381">
        <f>IF('CÁLCULO REVISIÓN'!$E145&gt;AUXILIAR!$G$39,"",'CÁLCULO REVISIÓN'!F145)</f>
      </c>
      <c r="E109" s="381">
        <f>IF('CÁLCULO REVISIÓN'!$E145&gt;AUXILIAR!$G$39,"",'CÁLCULO REVISIÓN'!G145)</f>
      </c>
      <c r="F109" s="381">
        <f>IF('CÁLCULO REVISIÓN'!$E145&gt;AUXILIAR!$G$39,"",'CÁLCULO REVISIÓN'!I145)</f>
      </c>
      <c r="G109" s="756"/>
      <c r="H109" s="334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</row>
    <row r="110" spans="1:27" ht="12.75">
      <c r="A110" s="334"/>
      <c r="B110" s="379">
        <f>IF('CÁLCULO REVISIÓN'!$E146&gt;AUXILIAR!$G$39,"",'CÁLCULO REVISIÓN'!D146)</f>
      </c>
      <c r="C110" s="380">
        <f>IF('CÁLCULO REVISIÓN'!$E146&gt;AUXILIAR!$G$39,"",'CÁLCULO REVISIÓN'!E146)</f>
      </c>
      <c r="D110" s="381">
        <f>IF('CÁLCULO REVISIÓN'!$E146&gt;AUXILIAR!$G$39,"",'CÁLCULO REVISIÓN'!F146)</f>
      </c>
      <c r="E110" s="381">
        <f>IF('CÁLCULO REVISIÓN'!$E146&gt;AUXILIAR!$G$39,"",'CÁLCULO REVISIÓN'!G146)</f>
      </c>
      <c r="F110" s="381">
        <f>IF('CÁLCULO REVISIÓN'!$E146&gt;AUXILIAR!$G$39,"",'CÁLCULO REVISIÓN'!I146)</f>
      </c>
      <c r="G110" s="756"/>
      <c r="H110" s="334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</row>
    <row r="111" spans="1:27" ht="12.75">
      <c r="A111" s="334"/>
      <c r="B111" s="379">
        <f>IF('CÁLCULO REVISIÓN'!$E147&gt;AUXILIAR!$G$39,"",'CÁLCULO REVISIÓN'!D147)</f>
      </c>
      <c r="C111" s="380">
        <f>IF('CÁLCULO REVISIÓN'!$E147&gt;AUXILIAR!$G$39,"",'CÁLCULO REVISIÓN'!E147)</f>
      </c>
      <c r="D111" s="381">
        <f>IF('CÁLCULO REVISIÓN'!$E147&gt;AUXILIAR!$G$39,"",'CÁLCULO REVISIÓN'!F147)</f>
      </c>
      <c r="E111" s="381">
        <f>IF('CÁLCULO REVISIÓN'!$E147&gt;AUXILIAR!$G$39,"",'CÁLCULO REVISIÓN'!G147)</f>
      </c>
      <c r="F111" s="381">
        <f>IF('CÁLCULO REVISIÓN'!$E147&gt;AUXILIAR!$G$39,"",'CÁLCULO REVISIÓN'!I147)</f>
      </c>
      <c r="G111" s="756"/>
      <c r="H111" s="334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</row>
    <row r="112" spans="1:27" ht="12.75">
      <c r="A112" s="334"/>
      <c r="B112" s="379">
        <f>IF('CÁLCULO REVISIÓN'!$E148&gt;AUXILIAR!$G$39,"",'CÁLCULO REVISIÓN'!D148)</f>
      </c>
      <c r="C112" s="380">
        <f>IF('CÁLCULO REVISIÓN'!$E148&gt;AUXILIAR!$G$39,"",'CÁLCULO REVISIÓN'!E148)</f>
      </c>
      <c r="D112" s="381">
        <f>IF('CÁLCULO REVISIÓN'!$E148&gt;AUXILIAR!$G$39,"",'CÁLCULO REVISIÓN'!F148)</f>
      </c>
      <c r="E112" s="381">
        <f>IF('CÁLCULO REVISIÓN'!$E148&gt;AUXILIAR!$G$39,"",'CÁLCULO REVISIÓN'!G148)</f>
      </c>
      <c r="F112" s="381">
        <f>IF('CÁLCULO REVISIÓN'!$E148&gt;AUXILIAR!$G$39,"",'CÁLCULO REVISIÓN'!I148)</f>
      </c>
      <c r="G112" s="756"/>
      <c r="H112" s="334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</row>
    <row r="113" spans="1:27" ht="12.75">
      <c r="A113" s="334"/>
      <c r="B113" s="379">
        <f>IF('CÁLCULO REVISIÓN'!$E149&gt;AUXILIAR!$G$39,"",'CÁLCULO REVISIÓN'!D149)</f>
      </c>
      <c r="C113" s="380">
        <f>IF('CÁLCULO REVISIÓN'!$E149&gt;AUXILIAR!$G$39,"",'CÁLCULO REVISIÓN'!E149)</f>
      </c>
      <c r="D113" s="381">
        <f>IF('CÁLCULO REVISIÓN'!$E149&gt;AUXILIAR!$G$39,"",'CÁLCULO REVISIÓN'!F149)</f>
      </c>
      <c r="E113" s="381">
        <f>IF('CÁLCULO REVISIÓN'!$E149&gt;AUXILIAR!$G$39,"",'CÁLCULO REVISIÓN'!G149)</f>
      </c>
      <c r="F113" s="381">
        <f>IF('CÁLCULO REVISIÓN'!$E149&gt;AUXILIAR!$G$39,"",'CÁLCULO REVISIÓN'!I149)</f>
      </c>
      <c r="G113" s="756"/>
      <c r="H113" s="334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</row>
    <row r="114" spans="1:27" ht="12.75">
      <c r="A114" s="334"/>
      <c r="B114" s="379">
        <f>IF('CÁLCULO REVISIÓN'!$E150&gt;AUXILIAR!$G$39,"",'CÁLCULO REVISIÓN'!D150)</f>
      </c>
      <c r="C114" s="380">
        <f>IF('CÁLCULO REVISIÓN'!$E150&gt;AUXILIAR!$G$39,"",'CÁLCULO REVISIÓN'!E150)</f>
      </c>
      <c r="D114" s="381">
        <f>IF('CÁLCULO REVISIÓN'!$E150&gt;AUXILIAR!$G$39,"",'CÁLCULO REVISIÓN'!F150)</f>
      </c>
      <c r="E114" s="381">
        <f>IF('CÁLCULO REVISIÓN'!$E150&gt;AUXILIAR!$G$39,"",'CÁLCULO REVISIÓN'!G150)</f>
      </c>
      <c r="F114" s="381">
        <f>IF('CÁLCULO REVISIÓN'!$E150&gt;AUXILIAR!$G$39,"",'CÁLCULO REVISIÓN'!I150)</f>
      </c>
      <c r="G114" s="756"/>
      <c r="H114" s="334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</row>
    <row r="115" spans="1:27" ht="12.75">
      <c r="A115" s="334"/>
      <c r="B115" s="379">
        <f>IF('CÁLCULO REVISIÓN'!$E151&gt;AUXILIAR!$G$39,"",'CÁLCULO REVISIÓN'!D151)</f>
      </c>
      <c r="C115" s="380">
        <f>IF('CÁLCULO REVISIÓN'!$E151&gt;AUXILIAR!$G$39,"",'CÁLCULO REVISIÓN'!E151)</f>
      </c>
      <c r="D115" s="381">
        <f>IF('CÁLCULO REVISIÓN'!$E151&gt;AUXILIAR!$G$39,"",'CÁLCULO REVISIÓN'!F151)</f>
      </c>
      <c r="E115" s="381">
        <f>IF('CÁLCULO REVISIÓN'!$E151&gt;AUXILIAR!$G$39,"",'CÁLCULO REVISIÓN'!G151)</f>
      </c>
      <c r="F115" s="381">
        <f>IF('CÁLCULO REVISIÓN'!$E151&gt;AUXILIAR!$G$39,"",'CÁLCULO REVISIÓN'!I151)</f>
      </c>
      <c r="G115" s="756"/>
      <c r="H115" s="334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</row>
    <row r="116" spans="1:27" ht="12.75">
      <c r="A116" s="334"/>
      <c r="B116" s="379">
        <f>IF('CÁLCULO REVISIÓN'!$E152&gt;AUXILIAR!$G$39,"",'CÁLCULO REVISIÓN'!D152)</f>
      </c>
      <c r="C116" s="380">
        <f>IF('CÁLCULO REVISIÓN'!$E152&gt;AUXILIAR!$G$39,"",'CÁLCULO REVISIÓN'!E152)</f>
      </c>
      <c r="D116" s="381">
        <f>IF('CÁLCULO REVISIÓN'!$E152&gt;AUXILIAR!$G$39,"",'CÁLCULO REVISIÓN'!F152)</f>
      </c>
      <c r="E116" s="381">
        <f>IF('CÁLCULO REVISIÓN'!$E152&gt;AUXILIAR!$G$39,"",'CÁLCULO REVISIÓN'!G152)</f>
      </c>
      <c r="F116" s="381">
        <f>IF('CÁLCULO REVISIÓN'!$E152&gt;AUXILIAR!$G$39,"",'CÁLCULO REVISIÓN'!I152)</f>
      </c>
      <c r="G116" s="756"/>
      <c r="H116" s="334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</row>
    <row r="117" spans="1:27" ht="12.75">
      <c r="A117" s="334"/>
      <c r="B117" s="379">
        <f>IF('CÁLCULO REVISIÓN'!$E153&gt;AUXILIAR!$G$39,"",'CÁLCULO REVISIÓN'!D153)</f>
      </c>
      <c r="C117" s="380">
        <f>IF('CÁLCULO REVISIÓN'!$E153&gt;AUXILIAR!$G$39,"",'CÁLCULO REVISIÓN'!E153)</f>
      </c>
      <c r="D117" s="381">
        <f>IF('CÁLCULO REVISIÓN'!$E153&gt;AUXILIAR!$G$39,"",'CÁLCULO REVISIÓN'!F153)</f>
      </c>
      <c r="E117" s="381">
        <f>IF('CÁLCULO REVISIÓN'!$E153&gt;AUXILIAR!$G$39,"",'CÁLCULO REVISIÓN'!G153)</f>
      </c>
      <c r="F117" s="381">
        <f>IF('CÁLCULO REVISIÓN'!$E153&gt;AUXILIAR!$G$39,"",'CÁLCULO REVISIÓN'!I153)</f>
      </c>
      <c r="G117" s="756"/>
      <c r="H117" s="334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</row>
    <row r="118" spans="1:27" ht="12.75">
      <c r="A118" s="334"/>
      <c r="B118" s="379">
        <f>IF('CÁLCULO REVISIÓN'!$E154&gt;AUXILIAR!$G$39,"",'CÁLCULO REVISIÓN'!D154)</f>
      </c>
      <c r="C118" s="380">
        <f>IF('CÁLCULO REVISIÓN'!$E154&gt;AUXILIAR!$G$39,"",'CÁLCULO REVISIÓN'!E154)</f>
      </c>
      <c r="D118" s="381">
        <f>IF('CÁLCULO REVISIÓN'!$E154&gt;AUXILIAR!$G$39,"",'CÁLCULO REVISIÓN'!F154)</f>
      </c>
      <c r="E118" s="381">
        <f>IF('CÁLCULO REVISIÓN'!$E154&gt;AUXILIAR!$G$39,"",'CÁLCULO REVISIÓN'!G154)</f>
      </c>
      <c r="F118" s="381">
        <f>IF('CÁLCULO REVISIÓN'!$E154&gt;AUXILIAR!$G$39,"",'CÁLCULO REVISIÓN'!I154)</f>
      </c>
      <c r="G118" s="756"/>
      <c r="H118" s="334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</row>
    <row r="119" spans="1:27" ht="12.75">
      <c r="A119" s="334"/>
      <c r="B119" s="379">
        <f>IF('CÁLCULO REVISIÓN'!$E155&gt;AUXILIAR!$G$39,"",'CÁLCULO REVISIÓN'!D155)</f>
      </c>
      <c r="C119" s="380">
        <f>IF('CÁLCULO REVISIÓN'!$E155&gt;AUXILIAR!$G$39,"",'CÁLCULO REVISIÓN'!E155)</f>
      </c>
      <c r="D119" s="381">
        <f>IF('CÁLCULO REVISIÓN'!$E155&gt;AUXILIAR!$G$39,"",'CÁLCULO REVISIÓN'!F155)</f>
      </c>
      <c r="E119" s="381">
        <f>IF('CÁLCULO REVISIÓN'!$E155&gt;AUXILIAR!$G$39,"",'CÁLCULO REVISIÓN'!G155)</f>
      </c>
      <c r="F119" s="381">
        <f>IF('CÁLCULO REVISIÓN'!$E155&gt;AUXILIAR!$G$39,"",'CÁLCULO REVISIÓN'!I155)</f>
      </c>
      <c r="G119" s="756"/>
      <c r="H119" s="334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</row>
    <row r="120" spans="1:27" ht="12.75">
      <c r="A120" s="334"/>
      <c r="B120" s="379">
        <f>IF('CÁLCULO REVISIÓN'!$E156&gt;AUXILIAR!$G$39,"",'CÁLCULO REVISIÓN'!D156)</f>
      </c>
      <c r="C120" s="380">
        <f>IF('CÁLCULO REVISIÓN'!$E156&gt;AUXILIAR!$G$39,"",'CÁLCULO REVISIÓN'!E156)</f>
      </c>
      <c r="D120" s="381">
        <f>IF('CÁLCULO REVISIÓN'!$E156&gt;AUXILIAR!$G$39,"",'CÁLCULO REVISIÓN'!F156)</f>
      </c>
      <c r="E120" s="381">
        <f>IF('CÁLCULO REVISIÓN'!$E156&gt;AUXILIAR!$G$39,"",'CÁLCULO REVISIÓN'!G156)</f>
      </c>
      <c r="F120" s="381">
        <f>IF('CÁLCULO REVISIÓN'!$E156&gt;AUXILIAR!$G$39,"",'CÁLCULO REVISIÓN'!I156)</f>
      </c>
      <c r="G120" s="756"/>
      <c r="H120" s="334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</row>
    <row r="121" spans="1:27" ht="12.75">
      <c r="A121" s="334"/>
      <c r="B121" s="379">
        <f>IF('CÁLCULO REVISIÓN'!$E157&gt;AUXILIAR!$G$39,"",'CÁLCULO REVISIÓN'!D157)</f>
      </c>
      <c r="C121" s="380">
        <f>IF('CÁLCULO REVISIÓN'!$E157&gt;AUXILIAR!$G$39,"",'CÁLCULO REVISIÓN'!E157)</f>
      </c>
      <c r="D121" s="381">
        <f>IF('CÁLCULO REVISIÓN'!$E157&gt;AUXILIAR!$G$39,"",'CÁLCULO REVISIÓN'!F157)</f>
      </c>
      <c r="E121" s="381">
        <f>IF('CÁLCULO REVISIÓN'!$E157&gt;AUXILIAR!$G$39,"",'CÁLCULO REVISIÓN'!G157)</f>
      </c>
      <c r="F121" s="381">
        <f>IF('CÁLCULO REVISIÓN'!$E157&gt;AUXILIAR!$G$39,"",'CÁLCULO REVISIÓN'!I157)</f>
      </c>
      <c r="G121" s="756"/>
      <c r="H121" s="334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</row>
    <row r="122" spans="1:27" ht="12.75">
      <c r="A122" s="334"/>
      <c r="B122" s="379">
        <f>IF('CÁLCULO REVISIÓN'!$E158&gt;AUXILIAR!$G$39,"",'CÁLCULO REVISIÓN'!D158)</f>
      </c>
      <c r="C122" s="380">
        <f>IF('CÁLCULO REVISIÓN'!$E158&gt;AUXILIAR!$G$39,"",'CÁLCULO REVISIÓN'!E158)</f>
      </c>
      <c r="D122" s="381">
        <f>IF('CÁLCULO REVISIÓN'!$E158&gt;AUXILIAR!$G$39,"",'CÁLCULO REVISIÓN'!F158)</f>
      </c>
      <c r="E122" s="381">
        <f>IF('CÁLCULO REVISIÓN'!$E158&gt;AUXILIAR!$G$39,"",'CÁLCULO REVISIÓN'!G158)</f>
      </c>
      <c r="F122" s="381">
        <f>IF('CÁLCULO REVISIÓN'!$E158&gt;AUXILIAR!$G$39,"",'CÁLCULO REVISIÓN'!I158)</f>
      </c>
      <c r="G122" s="756"/>
      <c r="H122" s="334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</row>
    <row r="123" spans="1:27" ht="12.75">
      <c r="A123" s="334"/>
      <c r="B123" s="379">
        <f>IF('CÁLCULO REVISIÓN'!$E159&gt;AUXILIAR!$G$39,"",'CÁLCULO REVISIÓN'!D159)</f>
      </c>
      <c r="C123" s="380">
        <f>IF('CÁLCULO REVISIÓN'!$E159&gt;AUXILIAR!$G$39,"",'CÁLCULO REVISIÓN'!E159)</f>
      </c>
      <c r="D123" s="381">
        <f>IF('CÁLCULO REVISIÓN'!$E159&gt;AUXILIAR!$G$39,"",'CÁLCULO REVISIÓN'!F159)</f>
      </c>
      <c r="E123" s="381">
        <f>IF('CÁLCULO REVISIÓN'!$E159&gt;AUXILIAR!$G$39,"",'CÁLCULO REVISIÓN'!G159)</f>
      </c>
      <c r="F123" s="381">
        <f>IF('CÁLCULO REVISIÓN'!$E159&gt;AUXILIAR!$G$39,"",'CÁLCULO REVISIÓN'!I159)</f>
      </c>
      <c r="G123" s="756"/>
      <c r="H123" s="334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</row>
    <row r="124" spans="1:27" ht="12.75">
      <c r="A124" s="334"/>
      <c r="B124" s="379">
        <f>IF('CÁLCULO REVISIÓN'!$E160&gt;AUXILIAR!$G$39,"",'CÁLCULO REVISIÓN'!D160)</f>
      </c>
      <c r="C124" s="380">
        <f>IF('CÁLCULO REVISIÓN'!$E160&gt;AUXILIAR!$G$39,"",'CÁLCULO REVISIÓN'!E160)</f>
      </c>
      <c r="D124" s="381">
        <f>IF('CÁLCULO REVISIÓN'!$E160&gt;AUXILIAR!$G$39,"",'CÁLCULO REVISIÓN'!F160)</f>
      </c>
      <c r="E124" s="381">
        <f>IF('CÁLCULO REVISIÓN'!$E160&gt;AUXILIAR!$G$39,"",'CÁLCULO REVISIÓN'!G160)</f>
      </c>
      <c r="F124" s="381">
        <f>IF('CÁLCULO REVISIÓN'!$E160&gt;AUXILIAR!$G$39,"",'CÁLCULO REVISIÓN'!I160)</f>
      </c>
      <c r="G124" s="756"/>
      <c r="H124" s="334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</row>
    <row r="125" spans="1:27" ht="12.75">
      <c r="A125" s="334"/>
      <c r="B125" s="379">
        <f>IF('CÁLCULO REVISIÓN'!$E161&gt;AUXILIAR!$G$39,"",'CÁLCULO REVISIÓN'!D161)</f>
      </c>
      <c r="C125" s="380">
        <f>IF('CÁLCULO REVISIÓN'!$E161&gt;AUXILIAR!$G$39,"",'CÁLCULO REVISIÓN'!E161)</f>
      </c>
      <c r="D125" s="381">
        <f>IF('CÁLCULO REVISIÓN'!$E161&gt;AUXILIAR!$G$39,"",'CÁLCULO REVISIÓN'!F161)</f>
      </c>
      <c r="E125" s="381">
        <f>IF('CÁLCULO REVISIÓN'!$E161&gt;AUXILIAR!$G$39,"",'CÁLCULO REVISIÓN'!G161)</f>
      </c>
      <c r="F125" s="381">
        <f>IF('CÁLCULO REVISIÓN'!$E161&gt;AUXILIAR!$G$39,"",'CÁLCULO REVISIÓN'!I161)</f>
      </c>
      <c r="G125" s="756"/>
      <c r="H125" s="334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</row>
    <row r="126" spans="1:27" ht="12.75">
      <c r="A126" s="334"/>
      <c r="B126" s="379">
        <f>IF('CÁLCULO REVISIÓN'!$E162&gt;AUXILIAR!$G$39,"",'CÁLCULO REVISIÓN'!D162)</f>
      </c>
      <c r="C126" s="380">
        <f>IF('CÁLCULO REVISIÓN'!$E162&gt;AUXILIAR!$G$39,"",'CÁLCULO REVISIÓN'!E162)</f>
      </c>
      <c r="D126" s="381">
        <f>IF('CÁLCULO REVISIÓN'!$E162&gt;AUXILIAR!$G$39,"",'CÁLCULO REVISIÓN'!F162)</f>
      </c>
      <c r="E126" s="381">
        <f>IF('CÁLCULO REVISIÓN'!$E162&gt;AUXILIAR!$G$39,"",'CÁLCULO REVISIÓN'!G162)</f>
      </c>
      <c r="F126" s="381">
        <f>IF('CÁLCULO REVISIÓN'!$E162&gt;AUXILIAR!$G$39,"",'CÁLCULO REVISIÓN'!I162)</f>
      </c>
      <c r="G126" s="756"/>
      <c r="H126" s="334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</row>
    <row r="127" spans="1:27" ht="12.75">
      <c r="A127" s="334"/>
      <c r="B127" s="379">
        <f>IF('CÁLCULO REVISIÓN'!$E163&gt;AUXILIAR!$G$39,"",'CÁLCULO REVISIÓN'!D163)</f>
      </c>
      <c r="C127" s="380">
        <f>IF('CÁLCULO REVISIÓN'!$E163&gt;AUXILIAR!$G$39,"",'CÁLCULO REVISIÓN'!E163)</f>
      </c>
      <c r="D127" s="381">
        <f>IF('CÁLCULO REVISIÓN'!$E163&gt;AUXILIAR!$G$39,"",'CÁLCULO REVISIÓN'!F163)</f>
      </c>
      <c r="E127" s="381">
        <f>IF('CÁLCULO REVISIÓN'!$E163&gt;AUXILIAR!$G$39,"",'CÁLCULO REVISIÓN'!G163)</f>
      </c>
      <c r="F127" s="381">
        <f>IF('CÁLCULO REVISIÓN'!$E163&gt;AUXILIAR!$G$39,"",'CÁLCULO REVISIÓN'!I163)</f>
      </c>
      <c r="G127" s="756"/>
      <c r="H127" s="334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</row>
    <row r="128" spans="1:27" ht="12.75">
      <c r="A128" s="334"/>
      <c r="B128" s="379">
        <f>IF('CÁLCULO REVISIÓN'!$E164&gt;AUXILIAR!$G$39,"",'CÁLCULO REVISIÓN'!D164)</f>
      </c>
      <c r="C128" s="380">
        <f>IF('CÁLCULO REVISIÓN'!$E164&gt;AUXILIAR!$G$39,"",'CÁLCULO REVISIÓN'!E164)</f>
      </c>
      <c r="D128" s="381">
        <f>IF('CÁLCULO REVISIÓN'!$E164&gt;AUXILIAR!$G$39,"",'CÁLCULO REVISIÓN'!F164)</f>
      </c>
      <c r="E128" s="381">
        <f>IF('CÁLCULO REVISIÓN'!$E164&gt;AUXILIAR!$G$39,"",'CÁLCULO REVISIÓN'!G164)</f>
      </c>
      <c r="F128" s="381">
        <f>IF('CÁLCULO REVISIÓN'!$E164&gt;AUXILIAR!$G$39,"",'CÁLCULO REVISIÓN'!I164)</f>
      </c>
      <c r="G128" s="756"/>
      <c r="H128" s="334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</row>
    <row r="129" spans="1:27" ht="12.75">
      <c r="A129" s="334"/>
      <c r="B129" s="379">
        <f>IF('CÁLCULO REVISIÓN'!$E165&gt;AUXILIAR!$G$39,"",'CÁLCULO REVISIÓN'!D165)</f>
      </c>
      <c r="C129" s="380">
        <f>IF('CÁLCULO REVISIÓN'!$E165&gt;AUXILIAR!$G$39,"",'CÁLCULO REVISIÓN'!E165)</f>
      </c>
      <c r="D129" s="381">
        <f>IF('CÁLCULO REVISIÓN'!$E165&gt;AUXILIAR!$G$39,"",'CÁLCULO REVISIÓN'!F165)</f>
      </c>
      <c r="E129" s="381">
        <f>IF('CÁLCULO REVISIÓN'!$E165&gt;AUXILIAR!$G$39,"",'CÁLCULO REVISIÓN'!G165)</f>
      </c>
      <c r="F129" s="381">
        <f>IF('CÁLCULO REVISIÓN'!$E165&gt;AUXILIAR!$G$39,"",'CÁLCULO REVISIÓN'!I165)</f>
      </c>
      <c r="G129" s="756"/>
      <c r="H129" s="334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</row>
    <row r="130" spans="1:27" ht="12.75">
      <c r="A130" s="334"/>
      <c r="B130" s="379">
        <f>IF('CÁLCULO REVISIÓN'!$E166&gt;AUXILIAR!$G$39,"",'CÁLCULO REVISIÓN'!D166)</f>
      </c>
      <c r="C130" s="380">
        <f>IF('CÁLCULO REVISIÓN'!$E166&gt;AUXILIAR!$G$39,"",'CÁLCULO REVISIÓN'!E166)</f>
      </c>
      <c r="D130" s="381">
        <f>IF('CÁLCULO REVISIÓN'!$E166&gt;AUXILIAR!$G$39,"",'CÁLCULO REVISIÓN'!F166)</f>
      </c>
      <c r="E130" s="381">
        <f>IF('CÁLCULO REVISIÓN'!$E166&gt;AUXILIAR!$G$39,"",'CÁLCULO REVISIÓN'!G166)</f>
      </c>
      <c r="F130" s="381">
        <f>IF('CÁLCULO REVISIÓN'!$E166&gt;AUXILIAR!$G$39,"",'CÁLCULO REVISIÓN'!I166)</f>
      </c>
      <c r="G130" s="756"/>
      <c r="H130" s="334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</row>
    <row r="131" spans="1:27" ht="12.75">
      <c r="A131" s="334"/>
      <c r="B131" s="379">
        <f>IF('CÁLCULO REVISIÓN'!$E167&gt;AUXILIAR!$G$39,"",'CÁLCULO REVISIÓN'!D167)</f>
      </c>
      <c r="C131" s="380">
        <f>IF('CÁLCULO REVISIÓN'!$E167&gt;AUXILIAR!$G$39,"",'CÁLCULO REVISIÓN'!E167)</f>
      </c>
      <c r="D131" s="381">
        <f>IF('CÁLCULO REVISIÓN'!$E167&gt;AUXILIAR!$G$39,"",'CÁLCULO REVISIÓN'!F167)</f>
      </c>
      <c r="E131" s="381">
        <f>IF('CÁLCULO REVISIÓN'!$E167&gt;AUXILIAR!$G$39,"",'CÁLCULO REVISIÓN'!G167)</f>
      </c>
      <c r="F131" s="381">
        <f>IF('CÁLCULO REVISIÓN'!$E167&gt;AUXILIAR!$G$39,"",'CÁLCULO REVISIÓN'!I167)</f>
      </c>
      <c r="G131" s="756"/>
      <c r="H131" s="334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</row>
    <row r="132" spans="1:27" ht="12.75">
      <c r="A132" s="334"/>
      <c r="B132" s="379">
        <f>IF('CÁLCULO REVISIÓN'!$E168&gt;AUXILIAR!$G$39,"",'CÁLCULO REVISIÓN'!D168)</f>
      </c>
      <c r="C132" s="380">
        <f>IF('CÁLCULO REVISIÓN'!$E168&gt;AUXILIAR!$G$39,"",'CÁLCULO REVISIÓN'!E168)</f>
      </c>
      <c r="D132" s="381">
        <f>IF('CÁLCULO REVISIÓN'!$E168&gt;AUXILIAR!$G$39,"",'CÁLCULO REVISIÓN'!F168)</f>
      </c>
      <c r="E132" s="381">
        <f>IF('CÁLCULO REVISIÓN'!$E168&gt;AUXILIAR!$G$39,"",'CÁLCULO REVISIÓN'!G168)</f>
      </c>
      <c r="F132" s="381">
        <f>IF('CÁLCULO REVISIÓN'!$E168&gt;AUXILIAR!$G$39,"",'CÁLCULO REVISIÓN'!I168)</f>
      </c>
      <c r="G132" s="756"/>
      <c r="H132" s="334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</row>
    <row r="133" spans="1:27" ht="12.75">
      <c r="A133" s="334"/>
      <c r="B133" s="379">
        <f>IF('CÁLCULO REVISIÓN'!$E169&gt;AUXILIAR!$G$39,"",'CÁLCULO REVISIÓN'!D169)</f>
      </c>
      <c r="C133" s="380">
        <f>IF('CÁLCULO REVISIÓN'!$E169&gt;AUXILIAR!$G$39,"",'CÁLCULO REVISIÓN'!E169)</f>
      </c>
      <c r="D133" s="381">
        <f>IF('CÁLCULO REVISIÓN'!$E169&gt;AUXILIAR!$G$39,"",'CÁLCULO REVISIÓN'!F169)</f>
      </c>
      <c r="E133" s="381">
        <f>IF('CÁLCULO REVISIÓN'!$E169&gt;AUXILIAR!$G$39,"",'CÁLCULO REVISIÓN'!G169)</f>
      </c>
      <c r="F133" s="381">
        <f>IF('CÁLCULO REVISIÓN'!$E169&gt;AUXILIAR!$G$39,"",'CÁLCULO REVISIÓN'!I169)</f>
      </c>
      <c r="G133" s="756"/>
      <c r="H133" s="334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</row>
    <row r="134" spans="1:27" ht="12.75">
      <c r="A134" s="334"/>
      <c r="B134" s="379">
        <f>IF('CÁLCULO REVISIÓN'!$E170&gt;AUXILIAR!$G$39,"",'CÁLCULO REVISIÓN'!D170)</f>
      </c>
      <c r="C134" s="380">
        <f>IF('CÁLCULO REVISIÓN'!$E170&gt;AUXILIAR!$G$39,"",'CÁLCULO REVISIÓN'!E170)</f>
      </c>
      <c r="D134" s="381">
        <f>IF('CÁLCULO REVISIÓN'!$E170&gt;AUXILIAR!$G$39,"",'CÁLCULO REVISIÓN'!F170)</f>
      </c>
      <c r="E134" s="381">
        <f>IF('CÁLCULO REVISIÓN'!$E170&gt;AUXILIAR!$G$39,"",'CÁLCULO REVISIÓN'!G170)</f>
      </c>
      <c r="F134" s="381">
        <f>IF('CÁLCULO REVISIÓN'!$E170&gt;AUXILIAR!$G$39,"",'CÁLCULO REVISIÓN'!I170)</f>
      </c>
      <c r="G134" s="334"/>
      <c r="H134" s="334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</row>
    <row r="135" spans="1:27" ht="12.75">
      <c r="A135" s="334"/>
      <c r="B135" s="379">
        <f>IF('CÁLCULO REVISIÓN'!$E171&gt;AUXILIAR!$G$39,"",'CÁLCULO REVISIÓN'!D171)</f>
      </c>
      <c r="C135" s="380">
        <f>IF('CÁLCULO REVISIÓN'!$E171&gt;AUXILIAR!$G$39,"",'CÁLCULO REVISIÓN'!E171)</f>
      </c>
      <c r="D135" s="381">
        <f>IF('CÁLCULO REVISIÓN'!$E171&gt;AUXILIAR!$G$39,"",'CÁLCULO REVISIÓN'!F171)</f>
      </c>
      <c r="E135" s="381">
        <f>IF('CÁLCULO REVISIÓN'!$E171&gt;AUXILIAR!$G$39,"",'CÁLCULO REVISIÓN'!G171)</f>
      </c>
      <c r="F135" s="381">
        <f>IF('CÁLCULO REVISIÓN'!$E171&gt;AUXILIAR!$G$39,"",'CÁLCULO REVISIÓN'!I171)</f>
      </c>
      <c r="G135" s="334"/>
      <c r="H135" s="334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</row>
    <row r="136" spans="1:27" ht="12.75">
      <c r="A136" s="334"/>
      <c r="B136" s="379">
        <f>IF('CÁLCULO REVISIÓN'!$E172&gt;AUXILIAR!$G$39,"",'CÁLCULO REVISIÓN'!D172)</f>
      </c>
      <c r="C136" s="380">
        <f>IF('CÁLCULO REVISIÓN'!$E172&gt;AUXILIAR!$G$39,"",'CÁLCULO REVISIÓN'!E172)</f>
      </c>
      <c r="D136" s="381">
        <f>IF('CÁLCULO REVISIÓN'!$E172&gt;AUXILIAR!$G$39,"",'CÁLCULO REVISIÓN'!F172)</f>
      </c>
      <c r="E136" s="381">
        <f>IF('CÁLCULO REVISIÓN'!$E172&gt;AUXILIAR!$G$39,"",'CÁLCULO REVISIÓN'!G172)</f>
      </c>
      <c r="F136" s="381">
        <f>IF('CÁLCULO REVISIÓN'!$E172&gt;AUXILIAR!$G$39,"",'CÁLCULO REVISIÓN'!I172)</f>
      </c>
      <c r="G136" s="334"/>
      <c r="H136" s="334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</row>
    <row r="137" spans="1:27" ht="12.75">
      <c r="A137" s="334"/>
      <c r="B137" s="379">
        <f>IF('CÁLCULO REVISIÓN'!$E173&gt;AUXILIAR!$G$39,"",'CÁLCULO REVISIÓN'!D173)</f>
      </c>
      <c r="C137" s="380">
        <f>IF('CÁLCULO REVISIÓN'!$E173&gt;AUXILIAR!$G$39,"",'CÁLCULO REVISIÓN'!E173)</f>
      </c>
      <c r="D137" s="381">
        <f>IF('CÁLCULO REVISIÓN'!$E173&gt;AUXILIAR!$G$39,"",'CÁLCULO REVISIÓN'!F173)</f>
      </c>
      <c r="E137" s="381">
        <f>IF('CÁLCULO REVISIÓN'!$E173&gt;AUXILIAR!$G$39,"",'CÁLCULO REVISIÓN'!G173)</f>
      </c>
      <c r="F137" s="381">
        <f>IF('CÁLCULO REVISIÓN'!$E173&gt;AUXILIAR!$G$39,"",'CÁLCULO REVISIÓN'!I173)</f>
      </c>
      <c r="G137" s="334"/>
      <c r="H137" s="334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</row>
    <row r="138" spans="1:27" ht="12.75">
      <c r="A138" s="334"/>
      <c r="B138" s="379">
        <f>IF('CÁLCULO REVISIÓN'!$E174&gt;AUXILIAR!$G$39,"",'CÁLCULO REVISIÓN'!D174)</f>
      </c>
      <c r="C138" s="380">
        <f>IF('CÁLCULO REVISIÓN'!$E174&gt;AUXILIAR!$G$39,"",'CÁLCULO REVISIÓN'!E174)</f>
      </c>
      <c r="D138" s="381">
        <f>IF('CÁLCULO REVISIÓN'!$E174&gt;AUXILIAR!$G$39,"",'CÁLCULO REVISIÓN'!F174)</f>
      </c>
      <c r="E138" s="381">
        <f>IF('CÁLCULO REVISIÓN'!$E174&gt;AUXILIAR!$G$39,"",'CÁLCULO REVISIÓN'!G174)</f>
      </c>
      <c r="F138" s="381">
        <f>IF('CÁLCULO REVISIÓN'!$E174&gt;AUXILIAR!$G$39,"",'CÁLCULO REVISIÓN'!I174)</f>
      </c>
      <c r="G138" s="334"/>
      <c r="H138" s="334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</row>
    <row r="139" spans="1:27" ht="12.75">
      <c r="A139" s="334"/>
      <c r="B139" s="379">
        <f>IF('CÁLCULO REVISIÓN'!$E175&gt;AUXILIAR!$G$39,"",'CÁLCULO REVISIÓN'!D175)</f>
      </c>
      <c r="C139" s="380">
        <f>IF('CÁLCULO REVISIÓN'!$E175&gt;AUXILIAR!$G$39,"",'CÁLCULO REVISIÓN'!E175)</f>
      </c>
      <c r="D139" s="381">
        <f>IF('CÁLCULO REVISIÓN'!$E175&gt;AUXILIAR!$G$39,"",'CÁLCULO REVISIÓN'!F175)</f>
      </c>
      <c r="E139" s="381">
        <f>IF('CÁLCULO REVISIÓN'!$E175&gt;AUXILIAR!$G$39,"",'CÁLCULO REVISIÓN'!G175)</f>
      </c>
      <c r="F139" s="381">
        <f>IF('CÁLCULO REVISIÓN'!$E175&gt;AUXILIAR!$G$39,"",'CÁLCULO REVISIÓN'!I175)</f>
      </c>
      <c r="G139" s="334"/>
      <c r="H139" s="334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</row>
    <row r="140" spans="1:27" ht="12.75">
      <c r="A140" s="334"/>
      <c r="B140" s="379">
        <f>IF('CÁLCULO REVISIÓN'!$E176&gt;AUXILIAR!$G$39,"",'CÁLCULO REVISIÓN'!D176)</f>
      </c>
      <c r="C140" s="380">
        <f>IF('CÁLCULO REVISIÓN'!$E176&gt;AUXILIAR!$G$39,"",'CÁLCULO REVISIÓN'!E176)</f>
      </c>
      <c r="D140" s="381">
        <f>IF('CÁLCULO REVISIÓN'!$E176&gt;AUXILIAR!$G$39,"",'CÁLCULO REVISIÓN'!F176)</f>
      </c>
      <c r="E140" s="381">
        <f>IF('CÁLCULO REVISIÓN'!$E176&gt;AUXILIAR!$G$39,"",'CÁLCULO REVISIÓN'!G176)</f>
      </c>
      <c r="F140" s="381">
        <f>IF('CÁLCULO REVISIÓN'!$E176&gt;AUXILIAR!$G$39,"",'CÁLCULO REVISIÓN'!I176)</f>
      </c>
      <c r="G140" s="334"/>
      <c r="H140" s="334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</row>
    <row r="141" spans="1:27" ht="12.75">
      <c r="A141" s="334"/>
      <c r="B141" s="379">
        <f>IF('CÁLCULO REVISIÓN'!$E177&gt;AUXILIAR!$G$39,"",'CÁLCULO REVISIÓN'!D177)</f>
      </c>
      <c r="C141" s="380">
        <f>IF('CÁLCULO REVISIÓN'!$E177&gt;AUXILIAR!$G$39,"",'CÁLCULO REVISIÓN'!E177)</f>
      </c>
      <c r="D141" s="381">
        <f>IF('CÁLCULO REVISIÓN'!$E177&gt;AUXILIAR!$G$39,"",'CÁLCULO REVISIÓN'!F177)</f>
      </c>
      <c r="E141" s="381">
        <f>IF('CÁLCULO REVISIÓN'!$E177&gt;AUXILIAR!$G$39,"",'CÁLCULO REVISIÓN'!G177)</f>
      </c>
      <c r="F141" s="381">
        <f>IF('CÁLCULO REVISIÓN'!$E177&gt;AUXILIAR!$G$39,"",'CÁLCULO REVISIÓN'!I177)</f>
      </c>
      <c r="G141" s="334"/>
      <c r="H141" s="334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</row>
    <row r="142" spans="1:27" ht="12.75">
      <c r="A142" s="746"/>
      <c r="B142" s="746"/>
      <c r="C142" s="757" t="s">
        <v>186</v>
      </c>
      <c r="D142" s="757"/>
      <c r="E142" s="757"/>
      <c r="F142" s="382">
        <f>'CÁLCULO REVISIÓN'!F185:G185</f>
        <v>0</v>
      </c>
      <c r="G142" s="383" t="s">
        <v>182</v>
      </c>
      <c r="H142" s="334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</row>
    <row r="143" spans="1:27" ht="8.25" customHeight="1">
      <c r="A143" s="746"/>
      <c r="B143" s="746"/>
      <c r="C143" s="334"/>
      <c r="D143" s="334"/>
      <c r="E143" s="334"/>
      <c r="F143" s="334"/>
      <c r="G143" s="334"/>
      <c r="H143" s="334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</row>
    <row r="144" spans="1:27" ht="15">
      <c r="A144" s="389"/>
      <c r="B144" s="363" t="str">
        <f>CONCATENATE("Revisión del Saldo de Liquidación: FÓRMULA Nº ",FÓRMULAS!C8)</f>
        <v>Revisión del Saldo de Liquidación: FÓRMULA Nº 1</v>
      </c>
      <c r="C144" s="389"/>
      <c r="D144" s="389"/>
      <c r="E144" s="389"/>
      <c r="F144" s="389"/>
      <c r="G144" s="389"/>
      <c r="H144" s="38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</row>
    <row r="145" spans="1:27" ht="12.75">
      <c r="A145" s="746"/>
      <c r="B145" s="746"/>
      <c r="C145" s="334"/>
      <c r="D145" s="384" t="s">
        <v>178</v>
      </c>
      <c r="E145" s="334" t="str">
        <f>'CÁLCULO REVISIÓN'!E245:G245</f>
        <v>Reglamento 2001</v>
      </c>
      <c r="F145" s="334"/>
      <c r="G145" s="334"/>
      <c r="H145" s="334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</row>
    <row r="146" spans="1:27" ht="12.75">
      <c r="A146" s="746"/>
      <c r="B146" s="746"/>
      <c r="C146" s="334"/>
      <c r="D146" s="384" t="s">
        <v>187</v>
      </c>
      <c r="E146" s="334">
        <f>'CÁLCULO REVISIÓN'!I247</f>
        <v>1</v>
      </c>
      <c r="F146" s="334"/>
      <c r="G146" s="334"/>
      <c r="H146" s="334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</row>
    <row r="147" spans="1:27" ht="12.75">
      <c r="A147" s="746"/>
      <c r="B147" s="746"/>
      <c r="C147" s="761" t="s">
        <v>188</v>
      </c>
      <c r="D147" s="761"/>
      <c r="E147" s="762">
        <f>'CÁLCULO REVISIÓN'!F252</f>
        <v>0</v>
      </c>
      <c r="F147" s="762"/>
      <c r="G147" s="334" t="s">
        <v>182</v>
      </c>
      <c r="H147" s="334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</row>
    <row r="148" spans="1:27" ht="12.75">
      <c r="A148" s="746"/>
      <c r="B148" s="746"/>
      <c r="C148" s="761" t="s">
        <v>189</v>
      </c>
      <c r="D148" s="761"/>
      <c r="E148" s="762">
        <f>'CÁLCULO REVISIÓN'!F253</f>
        <v>0</v>
      </c>
      <c r="F148" s="762"/>
      <c r="G148" s="334" t="s">
        <v>182</v>
      </c>
      <c r="H148" s="334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</row>
    <row r="149" spans="1:27" ht="12.75">
      <c r="A149" s="746"/>
      <c r="B149" s="746"/>
      <c r="C149" s="763" t="s">
        <v>190</v>
      </c>
      <c r="D149" s="763"/>
      <c r="E149" s="764">
        <f>'CÁLCULO REVISIÓN'!F254</f>
        <v>0</v>
      </c>
      <c r="F149" s="764"/>
      <c r="G149" s="334" t="s">
        <v>182</v>
      </c>
      <c r="H149" s="334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</row>
    <row r="150" spans="1:27" ht="12.75">
      <c r="A150" s="746"/>
      <c r="B150" s="746"/>
      <c r="C150" s="765" t="s">
        <v>191</v>
      </c>
      <c r="D150" s="765"/>
      <c r="E150" s="766">
        <f>'CÁLCULO REVISIÓN'!F255</f>
        <v>0</v>
      </c>
      <c r="F150" s="767"/>
      <c r="G150" s="771" t="s">
        <v>182</v>
      </c>
      <c r="H150" s="334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</row>
    <row r="151" spans="1:27" ht="12.75">
      <c r="A151" s="746"/>
      <c r="B151" s="746"/>
      <c r="C151" s="765"/>
      <c r="D151" s="765"/>
      <c r="E151" s="767"/>
      <c r="F151" s="767"/>
      <c r="G151" s="771"/>
      <c r="H151" s="334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</row>
    <row r="152" spans="1:27" ht="6.75" customHeight="1">
      <c r="A152" s="746"/>
      <c r="B152" s="746"/>
      <c r="C152" s="334"/>
      <c r="D152" s="334"/>
      <c r="E152" s="334"/>
      <c r="F152" s="334"/>
      <c r="G152" s="334"/>
      <c r="H152" s="334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</row>
    <row r="153" spans="1:27" ht="15">
      <c r="A153" s="746"/>
      <c r="B153" s="746"/>
      <c r="C153" s="475" t="str">
        <f>CONCATENATE("TOTAL REV. PRECIOS FÓRMULA Nº ",FÓRMULAS!C8)</f>
        <v>TOTAL REV. PRECIOS FÓRMULA Nº 1</v>
      </c>
      <c r="D153" s="343"/>
      <c r="E153" s="343"/>
      <c r="F153" s="343"/>
      <c r="G153" s="385">
        <f>F142+E150</f>
        <v>0</v>
      </c>
      <c r="H153" s="343" t="s">
        <v>182</v>
      </c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</row>
    <row r="154" spans="1:27" ht="19.5" customHeight="1">
      <c r="A154" s="770">
        <f>IF(AUXILIAR!D11=2,CONCATENATE("Revisión de precios correspondiente a la FÓRMULA Nº ",FÓRMULAS!C9),"")</f>
      </c>
      <c r="B154" s="770"/>
      <c r="C154" s="770"/>
      <c r="D154" s="770"/>
      <c r="E154" s="770"/>
      <c r="F154" s="768">
        <f>IF(AUXILIAR!D11=1,"",D9)</f>
      </c>
      <c r="G154" s="769"/>
      <c r="H154" s="388">
        <f>IF(AUXILIAR!D11=2,"pág. 4","")</f>
      </c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</row>
    <row r="155" spans="1:27" ht="12.75">
      <c r="A155" s="504"/>
      <c r="B155" s="745">
        <f>IF($F$24="","",'CÁLCULO REVISIÓN'!D189)</f>
      </c>
      <c r="C155" s="745">
        <f>IF($F$24="","",'CÁLCULO REVISIÓN'!E189)</f>
      </c>
      <c r="D155" s="745">
        <f>IF($F$24="","",'CÁLCULO REVISIÓN'!F189)</f>
      </c>
      <c r="E155" s="745">
        <f>IF($F$24="","",'CÁLCULO REVISIÓN'!G189)</f>
      </c>
      <c r="F155" s="745">
        <f>IF($F$24="","",'CÁLCULO REVISIÓN'!I189)</f>
      </c>
      <c r="G155" s="334"/>
      <c r="H155" s="334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</row>
    <row r="156" spans="1:27" ht="12.75">
      <c r="A156" s="504"/>
      <c r="B156" s="745"/>
      <c r="C156" s="745"/>
      <c r="D156" s="745"/>
      <c r="E156" s="745"/>
      <c r="F156" s="745"/>
      <c r="G156" s="334"/>
      <c r="H156" s="334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</row>
    <row r="157" spans="1:27" ht="12.75">
      <c r="A157" s="379"/>
      <c r="B157" s="379">
        <f>IF(AUXILIAR!$D$11=2,IF('CÁLCULO REVISIÓN'!$E190&gt;AUXILIAR!$G$39,"",'CÁLCULO REVISIÓN'!D190),"")</f>
      </c>
      <c r="C157" s="380">
        <f>IF(AUXILIAR!$D$11=2,IF('CÁLCULO REVISIÓN'!$E190&gt;AUXILIAR!$G$39,"",'CÁLCULO REVISIÓN'!E190),"")</f>
      </c>
      <c r="D157" s="387">
        <f>IF(AUXILIAR!$D$11=2,IF('CÁLCULO REVISIÓN'!$E190&gt;AUXILIAR!$G$39,"",'CÁLCULO REVISIÓN'!F190),"")</f>
      </c>
      <c r="E157" s="387">
        <f>IF(AUXILIAR!$D$11=2,IF('CÁLCULO REVISIÓN'!$E190&gt;AUXILIAR!$G$39,"",'CÁLCULO REVISIÓN'!G190),"")</f>
      </c>
      <c r="F157" s="387">
        <f>IF(AUXILIAR!$D$11=2,IF('CÁLCULO REVISIÓN'!$E190&gt;AUXILIAR!$G$39,"",'CÁLCULO REVISIÓN'!I190),"")</f>
      </c>
      <c r="G157" s="756">
        <f>IF(AUXILIAR!D11=1,"","Nota: en el caso de que haya más de 44 certificaciones con derecho a revisión debe imprimirse la Revisión de Precios completa, con el botón IMPRIMIR REVISIÓN de la hoja de inicio, para visualizar todos los cálculos.")</f>
      </c>
      <c r="H157" s="334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</row>
    <row r="158" spans="1:27" ht="12.75">
      <c r="A158" s="379"/>
      <c r="B158" s="379">
        <f>IF(AUXILIAR!$D$11=2,IF('CÁLCULO REVISIÓN'!$E191&gt;AUXILIAR!$G$39,"",'CÁLCULO REVISIÓN'!D191),"")</f>
      </c>
      <c r="C158" s="380">
        <f>IF(AUXILIAR!$D$11=2,IF('CÁLCULO REVISIÓN'!$E191&gt;AUXILIAR!$G$39,"",'CÁLCULO REVISIÓN'!E191),"")</f>
      </c>
      <c r="D158" s="387">
        <f>IF(AUXILIAR!$D$11=2,IF('CÁLCULO REVISIÓN'!$E191&gt;AUXILIAR!$G$39,"",'CÁLCULO REVISIÓN'!F191),"")</f>
      </c>
      <c r="E158" s="387">
        <f>IF(AUXILIAR!$D$11=2,IF('CÁLCULO REVISIÓN'!$E191&gt;AUXILIAR!$G$39,"",'CÁLCULO REVISIÓN'!G191),"")</f>
      </c>
      <c r="F158" s="387">
        <f>IF(AUXILIAR!$D$11=2,IF('CÁLCULO REVISIÓN'!$E191&gt;AUXILIAR!$G$39,"",'CÁLCULO REVISIÓN'!I191),"")</f>
      </c>
      <c r="G158" s="756"/>
      <c r="H158" s="334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</row>
    <row r="159" spans="1:27" ht="12.75">
      <c r="A159" s="379"/>
      <c r="B159" s="379">
        <f>IF(AUXILIAR!$D$11=2,IF('CÁLCULO REVISIÓN'!$E192&gt;AUXILIAR!$G$39,"",'CÁLCULO REVISIÓN'!D192),"")</f>
      </c>
      <c r="C159" s="380">
        <f>IF(AUXILIAR!$D$11=2,IF('CÁLCULO REVISIÓN'!$E192&gt;AUXILIAR!$G$39,"",'CÁLCULO REVISIÓN'!E192),"")</f>
      </c>
      <c r="D159" s="387">
        <f>IF(AUXILIAR!$D$11=2,IF('CÁLCULO REVISIÓN'!$E192&gt;AUXILIAR!$G$39,"",'CÁLCULO REVISIÓN'!F192),"")</f>
      </c>
      <c r="E159" s="387">
        <f>IF(AUXILIAR!$D$11=2,IF('CÁLCULO REVISIÓN'!$E192&gt;AUXILIAR!$G$39,"",'CÁLCULO REVISIÓN'!G192),"")</f>
      </c>
      <c r="F159" s="387">
        <f>IF(AUXILIAR!$D$11=2,IF('CÁLCULO REVISIÓN'!$E192&gt;AUXILIAR!$G$39,"",'CÁLCULO REVISIÓN'!I192),"")</f>
      </c>
      <c r="G159" s="756"/>
      <c r="H159" s="334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</row>
    <row r="160" spans="1:27" ht="12.75">
      <c r="A160" s="379"/>
      <c r="B160" s="379">
        <f>IF(AUXILIAR!$D$11=2,IF('CÁLCULO REVISIÓN'!$E193&gt;AUXILIAR!$G$39,"",'CÁLCULO REVISIÓN'!D193),"")</f>
      </c>
      <c r="C160" s="380">
        <f>IF(AUXILIAR!$D$11=2,IF('CÁLCULO REVISIÓN'!$E193&gt;AUXILIAR!$G$39,"",'CÁLCULO REVISIÓN'!E193),"")</f>
      </c>
      <c r="D160" s="387">
        <f>IF(AUXILIAR!$D$11=2,IF('CÁLCULO REVISIÓN'!$E193&gt;AUXILIAR!$G$39,"",'CÁLCULO REVISIÓN'!F193),"")</f>
      </c>
      <c r="E160" s="387">
        <f>IF(AUXILIAR!$D$11=2,IF('CÁLCULO REVISIÓN'!$E193&gt;AUXILIAR!$G$39,"",'CÁLCULO REVISIÓN'!G193),"")</f>
      </c>
      <c r="F160" s="387">
        <f>IF(AUXILIAR!$D$11=2,IF('CÁLCULO REVISIÓN'!$E193&gt;AUXILIAR!$G$39,"",'CÁLCULO REVISIÓN'!I193),"")</f>
      </c>
      <c r="G160" s="756"/>
      <c r="H160" s="334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</row>
    <row r="161" spans="1:27" ht="12.75">
      <c r="A161" s="379"/>
      <c r="B161" s="379">
        <f>IF(AUXILIAR!$D$11=2,IF('CÁLCULO REVISIÓN'!$E194&gt;AUXILIAR!$G$39,"",'CÁLCULO REVISIÓN'!D194),"")</f>
      </c>
      <c r="C161" s="380">
        <f>IF(AUXILIAR!$D$11=2,IF('CÁLCULO REVISIÓN'!$E194&gt;AUXILIAR!$G$39,"",'CÁLCULO REVISIÓN'!E194),"")</f>
      </c>
      <c r="D161" s="387">
        <f>IF(AUXILIAR!$D$11=2,IF('CÁLCULO REVISIÓN'!$E194&gt;AUXILIAR!$G$39,"",'CÁLCULO REVISIÓN'!F194),"")</f>
      </c>
      <c r="E161" s="387">
        <f>IF(AUXILIAR!$D$11=2,IF('CÁLCULO REVISIÓN'!$E194&gt;AUXILIAR!$G$39,"",'CÁLCULO REVISIÓN'!G194),"")</f>
      </c>
      <c r="F161" s="387">
        <f>IF(AUXILIAR!$D$11=2,IF('CÁLCULO REVISIÓN'!$E194&gt;AUXILIAR!$G$39,"",'CÁLCULO REVISIÓN'!I194),"")</f>
      </c>
      <c r="G161" s="756"/>
      <c r="H161" s="334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</row>
    <row r="162" spans="1:27" ht="12.75">
      <c r="A162" s="379"/>
      <c r="B162" s="379">
        <f>IF(AUXILIAR!$D$11=2,IF('CÁLCULO REVISIÓN'!$E195&gt;AUXILIAR!$G$39,"",'CÁLCULO REVISIÓN'!D195),"")</f>
      </c>
      <c r="C162" s="380">
        <f>IF(AUXILIAR!$D$11=2,IF('CÁLCULO REVISIÓN'!$E195&gt;AUXILIAR!$G$39,"",'CÁLCULO REVISIÓN'!E195),"")</f>
      </c>
      <c r="D162" s="387">
        <f>IF(AUXILIAR!$D$11=2,IF('CÁLCULO REVISIÓN'!$E195&gt;AUXILIAR!$G$39,"",'CÁLCULO REVISIÓN'!F195),"")</f>
      </c>
      <c r="E162" s="387">
        <f>IF(AUXILIAR!$D$11=2,IF('CÁLCULO REVISIÓN'!$E195&gt;AUXILIAR!$G$39,"",'CÁLCULO REVISIÓN'!G195),"")</f>
      </c>
      <c r="F162" s="387">
        <f>IF(AUXILIAR!$D$11=2,IF('CÁLCULO REVISIÓN'!$E195&gt;AUXILIAR!$G$39,"",'CÁLCULO REVISIÓN'!I195),"")</f>
      </c>
      <c r="G162" s="756"/>
      <c r="H162" s="334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</row>
    <row r="163" spans="1:27" ht="12.75">
      <c r="A163" s="379"/>
      <c r="B163" s="379">
        <f>IF(AUXILIAR!$D$11=2,IF('CÁLCULO REVISIÓN'!$E196&gt;AUXILIAR!$G$39,"",'CÁLCULO REVISIÓN'!D196),"")</f>
      </c>
      <c r="C163" s="380">
        <f>IF(AUXILIAR!$D$11=2,IF('CÁLCULO REVISIÓN'!$E196&gt;AUXILIAR!$G$39,"",'CÁLCULO REVISIÓN'!E196),"")</f>
      </c>
      <c r="D163" s="387">
        <f>IF(AUXILIAR!$D$11=2,IF('CÁLCULO REVISIÓN'!$E196&gt;AUXILIAR!$G$39,"",'CÁLCULO REVISIÓN'!F196),"")</f>
      </c>
      <c r="E163" s="387">
        <f>IF(AUXILIAR!$D$11=2,IF('CÁLCULO REVISIÓN'!$E196&gt;AUXILIAR!$G$39,"",'CÁLCULO REVISIÓN'!G196),"")</f>
      </c>
      <c r="F163" s="387">
        <f>IF(AUXILIAR!$D$11=2,IF('CÁLCULO REVISIÓN'!$E196&gt;AUXILIAR!$G$39,"",'CÁLCULO REVISIÓN'!I196),"")</f>
      </c>
      <c r="G163" s="756"/>
      <c r="H163" s="334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</row>
    <row r="164" spans="1:27" ht="12.75">
      <c r="A164" s="379"/>
      <c r="B164" s="379">
        <f>IF(AUXILIAR!$D$11=2,IF('CÁLCULO REVISIÓN'!$E197&gt;AUXILIAR!$G$39,"",'CÁLCULO REVISIÓN'!D197),"")</f>
      </c>
      <c r="C164" s="380">
        <f>IF(AUXILIAR!$D$11=2,IF('CÁLCULO REVISIÓN'!$E197&gt;AUXILIAR!$G$39,"",'CÁLCULO REVISIÓN'!E197),"")</f>
      </c>
      <c r="D164" s="387">
        <f>IF(AUXILIAR!$D$11=2,IF('CÁLCULO REVISIÓN'!$E197&gt;AUXILIAR!$G$39,"",'CÁLCULO REVISIÓN'!F197),"")</f>
      </c>
      <c r="E164" s="387">
        <f>IF(AUXILIAR!$D$11=2,IF('CÁLCULO REVISIÓN'!$E197&gt;AUXILIAR!$G$39,"",'CÁLCULO REVISIÓN'!G197),"")</f>
      </c>
      <c r="F164" s="387">
        <f>IF(AUXILIAR!$D$11=2,IF('CÁLCULO REVISIÓN'!$E197&gt;AUXILIAR!$G$39,"",'CÁLCULO REVISIÓN'!I197),"")</f>
      </c>
      <c r="G164" s="756"/>
      <c r="H164" s="334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</row>
    <row r="165" spans="1:27" ht="12.75">
      <c r="A165" s="379"/>
      <c r="B165" s="379">
        <f>IF(AUXILIAR!$D$11=2,IF('CÁLCULO REVISIÓN'!$E198&gt;AUXILIAR!$G$39,"",'CÁLCULO REVISIÓN'!D198),"")</f>
      </c>
      <c r="C165" s="380">
        <f>IF(AUXILIAR!$D$11=2,IF('CÁLCULO REVISIÓN'!$E198&gt;AUXILIAR!$G$39,"",'CÁLCULO REVISIÓN'!E198),"")</f>
      </c>
      <c r="D165" s="387">
        <f>IF(AUXILIAR!$D$11=2,IF('CÁLCULO REVISIÓN'!$E198&gt;AUXILIAR!$G$39,"",'CÁLCULO REVISIÓN'!F198),"")</f>
      </c>
      <c r="E165" s="387">
        <f>IF(AUXILIAR!$D$11=2,IF('CÁLCULO REVISIÓN'!$E198&gt;AUXILIAR!$G$39,"",'CÁLCULO REVISIÓN'!G198),"")</f>
      </c>
      <c r="F165" s="387">
        <f>IF(AUXILIAR!$D$11=2,IF('CÁLCULO REVISIÓN'!$E198&gt;AUXILIAR!$G$39,"",'CÁLCULO REVISIÓN'!I198),"")</f>
      </c>
      <c r="G165" s="756"/>
      <c r="H165" s="334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</row>
    <row r="166" spans="1:27" ht="12.75">
      <c r="A166" s="379"/>
      <c r="B166" s="379">
        <f>IF(AUXILIAR!$D$11=2,IF('CÁLCULO REVISIÓN'!$E199&gt;AUXILIAR!$G$39,"",'CÁLCULO REVISIÓN'!D199),"")</f>
      </c>
      <c r="C166" s="380">
        <f>IF(AUXILIAR!$D$11=2,IF('CÁLCULO REVISIÓN'!$E199&gt;AUXILIAR!$G$39,"",'CÁLCULO REVISIÓN'!E199),"")</f>
      </c>
      <c r="D166" s="387">
        <f>IF(AUXILIAR!$D$11=2,IF('CÁLCULO REVISIÓN'!$E199&gt;AUXILIAR!$G$39,"",'CÁLCULO REVISIÓN'!F199),"")</f>
      </c>
      <c r="E166" s="387">
        <f>IF(AUXILIAR!$D$11=2,IF('CÁLCULO REVISIÓN'!$E199&gt;AUXILIAR!$G$39,"",'CÁLCULO REVISIÓN'!G199),"")</f>
      </c>
      <c r="F166" s="387">
        <f>IF(AUXILIAR!$D$11=2,IF('CÁLCULO REVISIÓN'!$E199&gt;AUXILIAR!$G$39,"",'CÁLCULO REVISIÓN'!I199),"")</f>
      </c>
      <c r="G166" s="756"/>
      <c r="H166" s="334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</row>
    <row r="167" spans="1:27" ht="12.75">
      <c r="A167" s="379"/>
      <c r="B167" s="379">
        <f>IF(AUXILIAR!$D$11=2,IF('CÁLCULO REVISIÓN'!$E200&gt;AUXILIAR!$G$39,"",'CÁLCULO REVISIÓN'!D200),"")</f>
      </c>
      <c r="C167" s="380">
        <f>IF(AUXILIAR!$D$11=2,IF('CÁLCULO REVISIÓN'!$E200&gt;AUXILIAR!$G$39,"",'CÁLCULO REVISIÓN'!E200),"")</f>
      </c>
      <c r="D167" s="387">
        <f>IF(AUXILIAR!$D$11=2,IF('CÁLCULO REVISIÓN'!$E200&gt;AUXILIAR!$G$39,"",'CÁLCULO REVISIÓN'!F200),"")</f>
      </c>
      <c r="E167" s="387">
        <f>IF(AUXILIAR!$D$11=2,IF('CÁLCULO REVISIÓN'!$E200&gt;AUXILIAR!$G$39,"",'CÁLCULO REVISIÓN'!G200),"")</f>
      </c>
      <c r="F167" s="387">
        <f>IF(AUXILIAR!$D$11=2,IF('CÁLCULO REVISIÓN'!$E200&gt;AUXILIAR!$G$39,"",'CÁLCULO REVISIÓN'!I200),"")</f>
      </c>
      <c r="G167" s="756"/>
      <c r="H167" s="334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</row>
    <row r="168" spans="1:27" ht="12.75">
      <c r="A168" s="379"/>
      <c r="B168" s="379">
        <f>IF(AUXILIAR!$D$11=2,IF('CÁLCULO REVISIÓN'!$E201&gt;AUXILIAR!$G$39,"",'CÁLCULO REVISIÓN'!D201),"")</f>
      </c>
      <c r="C168" s="380">
        <f>IF(AUXILIAR!$D$11=2,IF('CÁLCULO REVISIÓN'!$E201&gt;AUXILIAR!$G$39,"",'CÁLCULO REVISIÓN'!E201),"")</f>
      </c>
      <c r="D168" s="387">
        <f>IF(AUXILIAR!$D$11=2,IF('CÁLCULO REVISIÓN'!$E201&gt;AUXILIAR!$G$39,"",'CÁLCULO REVISIÓN'!F201),"")</f>
      </c>
      <c r="E168" s="387">
        <f>IF(AUXILIAR!$D$11=2,IF('CÁLCULO REVISIÓN'!$E201&gt;AUXILIAR!$G$39,"",'CÁLCULO REVISIÓN'!G201),"")</f>
      </c>
      <c r="F168" s="387">
        <f>IF(AUXILIAR!$D$11=2,IF('CÁLCULO REVISIÓN'!$E201&gt;AUXILIAR!$G$39,"",'CÁLCULO REVISIÓN'!I201),"")</f>
      </c>
      <c r="G168" s="756"/>
      <c r="H168" s="334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</row>
    <row r="169" spans="1:27" ht="12.75">
      <c r="A169" s="379"/>
      <c r="B169" s="379">
        <f>IF(AUXILIAR!$D$11=2,IF('CÁLCULO REVISIÓN'!$E202&gt;AUXILIAR!$G$39,"",'CÁLCULO REVISIÓN'!D202),"")</f>
      </c>
      <c r="C169" s="380">
        <f>IF(AUXILIAR!$D$11=2,IF('CÁLCULO REVISIÓN'!$E202&gt;AUXILIAR!$G$39,"",'CÁLCULO REVISIÓN'!E202),"")</f>
      </c>
      <c r="D169" s="387">
        <f>IF(AUXILIAR!$D$11=2,IF('CÁLCULO REVISIÓN'!$E202&gt;AUXILIAR!$G$39,"",'CÁLCULO REVISIÓN'!F202),"")</f>
      </c>
      <c r="E169" s="387">
        <f>IF(AUXILIAR!$D$11=2,IF('CÁLCULO REVISIÓN'!$E202&gt;AUXILIAR!$G$39,"",'CÁLCULO REVISIÓN'!G202),"")</f>
      </c>
      <c r="F169" s="387">
        <f>IF(AUXILIAR!$D$11=2,IF('CÁLCULO REVISIÓN'!$E202&gt;AUXILIAR!$G$39,"",'CÁLCULO REVISIÓN'!I202),"")</f>
      </c>
      <c r="G169" s="756"/>
      <c r="H169" s="334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</row>
    <row r="170" spans="1:27" ht="12.75">
      <c r="A170" s="379"/>
      <c r="B170" s="379">
        <f>IF(AUXILIAR!$D$11=2,IF('CÁLCULO REVISIÓN'!$E203&gt;AUXILIAR!$G$39,"",'CÁLCULO REVISIÓN'!D203),"")</f>
      </c>
      <c r="C170" s="380">
        <f>IF(AUXILIAR!$D$11=2,IF('CÁLCULO REVISIÓN'!$E203&gt;AUXILIAR!$G$39,"",'CÁLCULO REVISIÓN'!E203),"")</f>
      </c>
      <c r="D170" s="387">
        <f>IF(AUXILIAR!$D$11=2,IF('CÁLCULO REVISIÓN'!$E203&gt;AUXILIAR!$G$39,"",'CÁLCULO REVISIÓN'!F203),"")</f>
      </c>
      <c r="E170" s="387">
        <f>IF(AUXILIAR!$D$11=2,IF('CÁLCULO REVISIÓN'!$E203&gt;AUXILIAR!$G$39,"",'CÁLCULO REVISIÓN'!G203),"")</f>
      </c>
      <c r="F170" s="387">
        <f>IF(AUXILIAR!$D$11=2,IF('CÁLCULO REVISIÓN'!$E203&gt;AUXILIAR!$G$39,"",'CÁLCULO REVISIÓN'!I203),"")</f>
      </c>
      <c r="G170" s="756"/>
      <c r="H170" s="334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</row>
    <row r="171" spans="1:27" ht="12.75">
      <c r="A171" s="379"/>
      <c r="B171" s="379">
        <f>IF(AUXILIAR!$D$11=2,IF('CÁLCULO REVISIÓN'!$E204&gt;AUXILIAR!$G$39,"",'CÁLCULO REVISIÓN'!D204),"")</f>
      </c>
      <c r="C171" s="380">
        <f>IF(AUXILIAR!$D$11=2,IF('CÁLCULO REVISIÓN'!$E204&gt;AUXILIAR!$G$39,"",'CÁLCULO REVISIÓN'!E204),"")</f>
      </c>
      <c r="D171" s="387">
        <f>IF(AUXILIAR!$D$11=2,IF('CÁLCULO REVISIÓN'!$E204&gt;AUXILIAR!$G$39,"",'CÁLCULO REVISIÓN'!F204),"")</f>
      </c>
      <c r="E171" s="387">
        <f>IF(AUXILIAR!$D$11=2,IF('CÁLCULO REVISIÓN'!$E204&gt;AUXILIAR!$G$39,"",'CÁLCULO REVISIÓN'!G204),"")</f>
      </c>
      <c r="F171" s="387">
        <f>IF(AUXILIAR!$D$11=2,IF('CÁLCULO REVISIÓN'!$E204&gt;AUXILIAR!$G$39,"",'CÁLCULO REVISIÓN'!I204),"")</f>
      </c>
      <c r="G171" s="756"/>
      <c r="H171" s="334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</row>
    <row r="172" spans="1:27" ht="12.75">
      <c r="A172" s="379"/>
      <c r="B172" s="379">
        <f>IF(AUXILIAR!$D$11=2,IF('CÁLCULO REVISIÓN'!$E205&gt;AUXILIAR!$G$39,"",'CÁLCULO REVISIÓN'!D205),"")</f>
      </c>
      <c r="C172" s="380">
        <f>IF(AUXILIAR!$D$11=2,IF('CÁLCULO REVISIÓN'!$E205&gt;AUXILIAR!$G$39,"",'CÁLCULO REVISIÓN'!E205),"")</f>
      </c>
      <c r="D172" s="387">
        <f>IF(AUXILIAR!$D$11=2,IF('CÁLCULO REVISIÓN'!$E205&gt;AUXILIAR!$G$39,"",'CÁLCULO REVISIÓN'!F205),"")</f>
      </c>
      <c r="E172" s="387">
        <f>IF(AUXILIAR!$D$11=2,IF('CÁLCULO REVISIÓN'!$E205&gt;AUXILIAR!$G$39,"",'CÁLCULO REVISIÓN'!G205),"")</f>
      </c>
      <c r="F172" s="387">
        <f>IF(AUXILIAR!$D$11=2,IF('CÁLCULO REVISIÓN'!$E205&gt;AUXILIAR!$G$39,"",'CÁLCULO REVISIÓN'!I205),"")</f>
      </c>
      <c r="G172" s="756"/>
      <c r="H172" s="334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</row>
    <row r="173" spans="1:27" ht="12.75">
      <c r="A173" s="379"/>
      <c r="B173" s="379">
        <f>IF(AUXILIAR!$D$11=2,IF('CÁLCULO REVISIÓN'!$E206&gt;AUXILIAR!$G$39,"",'CÁLCULO REVISIÓN'!D206),"")</f>
      </c>
      <c r="C173" s="380">
        <f>IF(AUXILIAR!$D$11=2,IF('CÁLCULO REVISIÓN'!$E206&gt;AUXILIAR!$G$39,"",'CÁLCULO REVISIÓN'!E206),"")</f>
      </c>
      <c r="D173" s="387">
        <f>IF(AUXILIAR!$D$11=2,IF('CÁLCULO REVISIÓN'!$E206&gt;AUXILIAR!$G$39,"",'CÁLCULO REVISIÓN'!F206),"")</f>
      </c>
      <c r="E173" s="387">
        <f>IF(AUXILIAR!$D$11=2,IF('CÁLCULO REVISIÓN'!$E206&gt;AUXILIAR!$G$39,"",'CÁLCULO REVISIÓN'!G206),"")</f>
      </c>
      <c r="F173" s="387">
        <f>IF(AUXILIAR!$D$11=2,IF('CÁLCULO REVISIÓN'!$E206&gt;AUXILIAR!$G$39,"",'CÁLCULO REVISIÓN'!I206),"")</f>
      </c>
      <c r="G173" s="756"/>
      <c r="H173" s="334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</row>
    <row r="174" spans="1:27" ht="12.75">
      <c r="A174" s="379"/>
      <c r="B174" s="379">
        <f>IF(AUXILIAR!$D$11=2,IF('CÁLCULO REVISIÓN'!$E207&gt;AUXILIAR!$G$39,"",'CÁLCULO REVISIÓN'!D207),"")</f>
      </c>
      <c r="C174" s="380">
        <f>IF(AUXILIAR!$D$11=2,IF('CÁLCULO REVISIÓN'!$E207&gt;AUXILIAR!$G$39,"",'CÁLCULO REVISIÓN'!E207),"")</f>
      </c>
      <c r="D174" s="387">
        <f>IF(AUXILIAR!$D$11=2,IF('CÁLCULO REVISIÓN'!$E207&gt;AUXILIAR!$G$39,"",'CÁLCULO REVISIÓN'!F207),"")</f>
      </c>
      <c r="E174" s="387">
        <f>IF(AUXILIAR!$D$11=2,IF('CÁLCULO REVISIÓN'!$E207&gt;AUXILIAR!$G$39,"",'CÁLCULO REVISIÓN'!G207),"")</f>
      </c>
      <c r="F174" s="387">
        <f>IF(AUXILIAR!$D$11=2,IF('CÁLCULO REVISIÓN'!$E207&gt;AUXILIAR!$G$39,"",'CÁLCULO REVISIÓN'!I207),"")</f>
      </c>
      <c r="G174" s="756"/>
      <c r="H174" s="334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</row>
    <row r="175" spans="1:27" ht="12.75">
      <c r="A175" s="379"/>
      <c r="B175" s="379">
        <f>IF(AUXILIAR!$D$11=2,IF('CÁLCULO REVISIÓN'!$E208&gt;AUXILIAR!$G$39,"",'CÁLCULO REVISIÓN'!D208),"")</f>
      </c>
      <c r="C175" s="380">
        <f>IF(AUXILIAR!$D$11=2,IF('CÁLCULO REVISIÓN'!$E208&gt;AUXILIAR!$G$39,"",'CÁLCULO REVISIÓN'!E208),"")</f>
      </c>
      <c r="D175" s="387">
        <f>IF(AUXILIAR!$D$11=2,IF('CÁLCULO REVISIÓN'!$E208&gt;AUXILIAR!$G$39,"",'CÁLCULO REVISIÓN'!F208),"")</f>
      </c>
      <c r="E175" s="387">
        <f>IF(AUXILIAR!$D$11=2,IF('CÁLCULO REVISIÓN'!$E208&gt;AUXILIAR!$G$39,"",'CÁLCULO REVISIÓN'!G208),"")</f>
      </c>
      <c r="F175" s="387">
        <f>IF(AUXILIAR!$D$11=2,IF('CÁLCULO REVISIÓN'!$E208&gt;AUXILIAR!$G$39,"",'CÁLCULO REVISIÓN'!I208),"")</f>
      </c>
      <c r="G175" s="756"/>
      <c r="H175" s="334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</row>
    <row r="176" spans="1:27" ht="12.75">
      <c r="A176" s="379"/>
      <c r="B176" s="379">
        <f>IF(AUXILIAR!$D$11=2,IF('CÁLCULO REVISIÓN'!$E209&gt;AUXILIAR!$G$39,"",'CÁLCULO REVISIÓN'!D209),"")</f>
      </c>
      <c r="C176" s="380">
        <f>IF(AUXILIAR!$D$11=2,IF('CÁLCULO REVISIÓN'!$E209&gt;AUXILIAR!$G$39,"",'CÁLCULO REVISIÓN'!E209),"")</f>
      </c>
      <c r="D176" s="387">
        <f>IF(AUXILIAR!$D$11=2,IF('CÁLCULO REVISIÓN'!$E209&gt;AUXILIAR!$G$39,"",'CÁLCULO REVISIÓN'!F209),"")</f>
      </c>
      <c r="E176" s="387">
        <f>IF(AUXILIAR!$D$11=2,IF('CÁLCULO REVISIÓN'!$E209&gt;AUXILIAR!$G$39,"",'CÁLCULO REVISIÓN'!G209),"")</f>
      </c>
      <c r="F176" s="387">
        <f>IF(AUXILIAR!$D$11=2,IF('CÁLCULO REVISIÓN'!$E209&gt;AUXILIAR!$G$39,"",'CÁLCULO REVISIÓN'!I209),"")</f>
      </c>
      <c r="G176" s="756"/>
      <c r="H176" s="334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</row>
    <row r="177" spans="1:27" ht="12.75">
      <c r="A177" s="379"/>
      <c r="B177" s="379">
        <f>IF(AUXILIAR!$D$11=2,IF('CÁLCULO REVISIÓN'!$E210&gt;AUXILIAR!$G$39,"",'CÁLCULO REVISIÓN'!D210),"")</f>
      </c>
      <c r="C177" s="380">
        <f>IF(AUXILIAR!$D$11=2,IF('CÁLCULO REVISIÓN'!$E210&gt;AUXILIAR!$G$39,"",'CÁLCULO REVISIÓN'!E210),"")</f>
      </c>
      <c r="D177" s="387">
        <f>IF(AUXILIAR!$D$11=2,IF('CÁLCULO REVISIÓN'!$E210&gt;AUXILIAR!$G$39,"",'CÁLCULO REVISIÓN'!F210),"")</f>
      </c>
      <c r="E177" s="387">
        <f>IF(AUXILIAR!$D$11=2,IF('CÁLCULO REVISIÓN'!$E210&gt;AUXILIAR!$G$39,"",'CÁLCULO REVISIÓN'!G210),"")</f>
      </c>
      <c r="F177" s="387">
        <f>IF(AUXILIAR!$D$11=2,IF('CÁLCULO REVISIÓN'!$E210&gt;AUXILIAR!$G$39,"",'CÁLCULO REVISIÓN'!I210),"")</f>
      </c>
      <c r="G177" s="756"/>
      <c r="H177" s="334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</row>
    <row r="178" spans="1:27" ht="12.75">
      <c r="A178" s="379"/>
      <c r="B178" s="379">
        <f>IF(AUXILIAR!$D$11=2,IF('CÁLCULO REVISIÓN'!$E211&gt;AUXILIAR!$G$39,"",'CÁLCULO REVISIÓN'!D211),"")</f>
      </c>
      <c r="C178" s="380">
        <f>IF(AUXILIAR!$D$11=2,IF('CÁLCULO REVISIÓN'!$E211&gt;AUXILIAR!$G$39,"",'CÁLCULO REVISIÓN'!E211),"")</f>
      </c>
      <c r="D178" s="387">
        <f>IF(AUXILIAR!$D$11=2,IF('CÁLCULO REVISIÓN'!$E211&gt;AUXILIAR!$G$39,"",'CÁLCULO REVISIÓN'!F211),"")</f>
      </c>
      <c r="E178" s="387">
        <f>IF(AUXILIAR!$D$11=2,IF('CÁLCULO REVISIÓN'!$E211&gt;AUXILIAR!$G$39,"",'CÁLCULO REVISIÓN'!G211),"")</f>
      </c>
      <c r="F178" s="387">
        <f>IF(AUXILIAR!$D$11=2,IF('CÁLCULO REVISIÓN'!$E211&gt;AUXILIAR!$G$39,"",'CÁLCULO REVISIÓN'!I211),"")</f>
      </c>
      <c r="G178" s="756"/>
      <c r="H178" s="334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</row>
    <row r="179" spans="1:27" ht="12.75">
      <c r="A179" s="379"/>
      <c r="B179" s="379">
        <f>IF(AUXILIAR!$D$11=2,IF('CÁLCULO REVISIÓN'!$E212&gt;AUXILIAR!$G$39,"",'CÁLCULO REVISIÓN'!D212),"")</f>
      </c>
      <c r="C179" s="380">
        <f>IF(AUXILIAR!$D$11=2,IF('CÁLCULO REVISIÓN'!$E212&gt;AUXILIAR!$G$39,"",'CÁLCULO REVISIÓN'!E212),"")</f>
      </c>
      <c r="D179" s="387">
        <f>IF(AUXILIAR!$D$11=2,IF('CÁLCULO REVISIÓN'!$E212&gt;AUXILIAR!$G$39,"",'CÁLCULO REVISIÓN'!F212),"")</f>
      </c>
      <c r="E179" s="387">
        <f>IF(AUXILIAR!$D$11=2,IF('CÁLCULO REVISIÓN'!$E212&gt;AUXILIAR!$G$39,"",'CÁLCULO REVISIÓN'!G212),"")</f>
      </c>
      <c r="F179" s="387">
        <f>IF(AUXILIAR!$D$11=2,IF('CÁLCULO REVISIÓN'!$E212&gt;AUXILIAR!$G$39,"",'CÁLCULO REVISIÓN'!I212),"")</f>
      </c>
      <c r="G179" s="756"/>
      <c r="H179" s="334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</row>
    <row r="180" spans="1:27" ht="12.75">
      <c r="A180" s="379"/>
      <c r="B180" s="379">
        <f>IF(AUXILIAR!$D$11=2,IF('CÁLCULO REVISIÓN'!$E213&gt;AUXILIAR!$G$39,"",'CÁLCULO REVISIÓN'!D213),"")</f>
      </c>
      <c r="C180" s="380">
        <f>IF(AUXILIAR!$D$11=2,IF('CÁLCULO REVISIÓN'!$E213&gt;AUXILIAR!$G$39,"",'CÁLCULO REVISIÓN'!E213),"")</f>
      </c>
      <c r="D180" s="387">
        <f>IF(AUXILIAR!$D$11=2,IF('CÁLCULO REVISIÓN'!$E213&gt;AUXILIAR!$G$39,"",'CÁLCULO REVISIÓN'!F213),"")</f>
      </c>
      <c r="E180" s="387">
        <f>IF(AUXILIAR!$D$11=2,IF('CÁLCULO REVISIÓN'!$E213&gt;AUXILIAR!$G$39,"",'CÁLCULO REVISIÓN'!G213),"")</f>
      </c>
      <c r="F180" s="387">
        <f>IF(AUXILIAR!$D$11=2,IF('CÁLCULO REVISIÓN'!$E213&gt;AUXILIAR!$G$39,"",'CÁLCULO REVISIÓN'!I213),"")</f>
      </c>
      <c r="G180" s="756"/>
      <c r="H180" s="334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</row>
    <row r="181" spans="1:27" ht="12.75">
      <c r="A181" s="379"/>
      <c r="B181" s="379">
        <f>IF(AUXILIAR!$D$11=2,IF('CÁLCULO REVISIÓN'!$E214&gt;AUXILIAR!$G$39,"",'CÁLCULO REVISIÓN'!D214),"")</f>
      </c>
      <c r="C181" s="380">
        <f>IF(AUXILIAR!$D$11=2,IF('CÁLCULO REVISIÓN'!$E214&gt;AUXILIAR!$G$39,"",'CÁLCULO REVISIÓN'!E214),"")</f>
      </c>
      <c r="D181" s="387">
        <f>IF(AUXILIAR!$D$11=2,IF('CÁLCULO REVISIÓN'!$E214&gt;AUXILIAR!$G$39,"",'CÁLCULO REVISIÓN'!F214),"")</f>
      </c>
      <c r="E181" s="387">
        <f>IF(AUXILIAR!$D$11=2,IF('CÁLCULO REVISIÓN'!$E214&gt;AUXILIAR!$G$39,"",'CÁLCULO REVISIÓN'!G214),"")</f>
      </c>
      <c r="F181" s="387">
        <f>IF(AUXILIAR!$D$11=2,IF('CÁLCULO REVISIÓN'!$E214&gt;AUXILIAR!$G$39,"",'CÁLCULO REVISIÓN'!I214),"")</f>
      </c>
      <c r="G181" s="756"/>
      <c r="H181" s="334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</row>
    <row r="182" spans="1:27" ht="12.75">
      <c r="A182" s="379"/>
      <c r="B182" s="379">
        <f>IF(AUXILIAR!$D$11=2,IF('CÁLCULO REVISIÓN'!$E215&gt;AUXILIAR!$G$39,"",'CÁLCULO REVISIÓN'!D215),"")</f>
      </c>
      <c r="C182" s="380">
        <f>IF(AUXILIAR!$D$11=2,IF('CÁLCULO REVISIÓN'!$E215&gt;AUXILIAR!$G$39,"",'CÁLCULO REVISIÓN'!E215),"")</f>
      </c>
      <c r="D182" s="387">
        <f>IF(AUXILIAR!$D$11=2,IF('CÁLCULO REVISIÓN'!$E215&gt;AUXILIAR!$G$39,"",'CÁLCULO REVISIÓN'!F215),"")</f>
      </c>
      <c r="E182" s="387">
        <f>IF(AUXILIAR!$D$11=2,IF('CÁLCULO REVISIÓN'!$E215&gt;AUXILIAR!$G$39,"",'CÁLCULO REVISIÓN'!G215),"")</f>
      </c>
      <c r="F182" s="387">
        <f>IF(AUXILIAR!$D$11=2,IF('CÁLCULO REVISIÓN'!$E215&gt;AUXILIAR!$G$39,"",'CÁLCULO REVISIÓN'!I215),"")</f>
      </c>
      <c r="G182" s="756"/>
      <c r="H182" s="334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</row>
    <row r="183" spans="1:27" ht="12.75">
      <c r="A183" s="379"/>
      <c r="B183" s="379">
        <f>IF(AUXILIAR!$D$11=2,IF('CÁLCULO REVISIÓN'!$E216&gt;AUXILIAR!$G$39,"",'CÁLCULO REVISIÓN'!D216),"")</f>
      </c>
      <c r="C183" s="380">
        <f>IF(AUXILIAR!$D$11=2,IF('CÁLCULO REVISIÓN'!$E216&gt;AUXILIAR!$G$39,"",'CÁLCULO REVISIÓN'!E216),"")</f>
      </c>
      <c r="D183" s="387">
        <f>IF(AUXILIAR!$D$11=2,IF('CÁLCULO REVISIÓN'!$E216&gt;AUXILIAR!$G$39,"",'CÁLCULO REVISIÓN'!F216),"")</f>
      </c>
      <c r="E183" s="387">
        <f>IF(AUXILIAR!$D$11=2,IF('CÁLCULO REVISIÓN'!$E216&gt;AUXILIAR!$G$39,"",'CÁLCULO REVISIÓN'!G216),"")</f>
      </c>
      <c r="F183" s="387">
        <f>IF(AUXILIAR!$D$11=2,IF('CÁLCULO REVISIÓN'!$E216&gt;AUXILIAR!$G$39,"",'CÁLCULO REVISIÓN'!I216),"")</f>
      </c>
      <c r="G183" s="756"/>
      <c r="H183" s="334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</row>
    <row r="184" spans="1:27" ht="12.75">
      <c r="A184" s="379"/>
      <c r="B184" s="379">
        <f>IF(AUXILIAR!$D$11=2,IF('CÁLCULO REVISIÓN'!$E217&gt;AUXILIAR!$G$39,"",'CÁLCULO REVISIÓN'!D217),"")</f>
      </c>
      <c r="C184" s="380">
        <f>IF(AUXILIAR!$D$11=2,IF('CÁLCULO REVISIÓN'!$E217&gt;AUXILIAR!$G$39,"",'CÁLCULO REVISIÓN'!E217),"")</f>
      </c>
      <c r="D184" s="387">
        <f>IF(AUXILIAR!$D$11=2,IF('CÁLCULO REVISIÓN'!$E217&gt;AUXILIAR!$G$39,"",'CÁLCULO REVISIÓN'!F217),"")</f>
      </c>
      <c r="E184" s="387">
        <f>IF(AUXILIAR!$D$11=2,IF('CÁLCULO REVISIÓN'!$E217&gt;AUXILIAR!$G$39,"",'CÁLCULO REVISIÓN'!G217),"")</f>
      </c>
      <c r="F184" s="387">
        <f>IF(AUXILIAR!$D$11=2,IF('CÁLCULO REVISIÓN'!$E217&gt;AUXILIAR!$G$39,"",'CÁLCULO REVISIÓN'!I217),"")</f>
      </c>
      <c r="G184" s="756"/>
      <c r="H184" s="334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</row>
    <row r="185" spans="1:27" ht="12.75">
      <c r="A185" s="379"/>
      <c r="B185" s="379">
        <f>IF(AUXILIAR!$D$11=2,IF('CÁLCULO REVISIÓN'!$E218&gt;AUXILIAR!$G$39,"",'CÁLCULO REVISIÓN'!D218),"")</f>
      </c>
      <c r="C185" s="380">
        <f>IF(AUXILIAR!$D$11=2,IF('CÁLCULO REVISIÓN'!$E218&gt;AUXILIAR!$G$39,"",'CÁLCULO REVISIÓN'!E218),"")</f>
      </c>
      <c r="D185" s="387">
        <f>IF(AUXILIAR!$D$11=2,IF('CÁLCULO REVISIÓN'!$E218&gt;AUXILIAR!$G$39,"",'CÁLCULO REVISIÓN'!F218),"")</f>
      </c>
      <c r="E185" s="387">
        <f>IF(AUXILIAR!$D$11=2,IF('CÁLCULO REVISIÓN'!$E218&gt;AUXILIAR!$G$39,"",'CÁLCULO REVISIÓN'!G218),"")</f>
      </c>
      <c r="F185" s="387">
        <f>IF(AUXILIAR!$D$11=2,IF('CÁLCULO REVISIÓN'!$E218&gt;AUXILIAR!$G$39,"",'CÁLCULO REVISIÓN'!I218),"")</f>
      </c>
      <c r="G185" s="756"/>
      <c r="H185" s="334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</row>
    <row r="186" spans="1:27" ht="12.75">
      <c r="A186" s="379"/>
      <c r="B186" s="379">
        <f>IF(AUXILIAR!$D$11=2,IF('CÁLCULO REVISIÓN'!$E219&gt;AUXILIAR!$G$39,"",'CÁLCULO REVISIÓN'!D219),"")</f>
      </c>
      <c r="C186" s="380">
        <f>IF(AUXILIAR!$D$11=2,IF('CÁLCULO REVISIÓN'!$E219&gt;AUXILIAR!$G$39,"",'CÁLCULO REVISIÓN'!E219),"")</f>
      </c>
      <c r="D186" s="387">
        <f>IF(AUXILIAR!$D$11=2,IF('CÁLCULO REVISIÓN'!$E219&gt;AUXILIAR!$G$39,"",'CÁLCULO REVISIÓN'!F219),"")</f>
      </c>
      <c r="E186" s="387">
        <f>IF(AUXILIAR!$D$11=2,IF('CÁLCULO REVISIÓN'!$E219&gt;AUXILIAR!$G$39,"",'CÁLCULO REVISIÓN'!G219),"")</f>
      </c>
      <c r="F186" s="387">
        <f>IF(AUXILIAR!$D$11=2,IF('CÁLCULO REVISIÓN'!$E219&gt;AUXILIAR!$G$39,"",'CÁLCULO REVISIÓN'!I219),"")</f>
      </c>
      <c r="G186" s="756"/>
      <c r="H186" s="334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</row>
    <row r="187" spans="1:27" ht="12.75">
      <c r="A187" s="379"/>
      <c r="B187" s="379">
        <f>IF(AUXILIAR!$D$11=2,IF('CÁLCULO REVISIÓN'!$E220&gt;AUXILIAR!$G$39,"",'CÁLCULO REVISIÓN'!D220),"")</f>
      </c>
      <c r="C187" s="380">
        <f>IF(AUXILIAR!$D$11=2,IF('CÁLCULO REVISIÓN'!$E220&gt;AUXILIAR!$G$39,"",'CÁLCULO REVISIÓN'!E220),"")</f>
      </c>
      <c r="D187" s="387">
        <f>IF(AUXILIAR!$D$11=2,IF('CÁLCULO REVISIÓN'!$E220&gt;AUXILIAR!$G$39,"",'CÁLCULO REVISIÓN'!F220),"")</f>
      </c>
      <c r="E187" s="387">
        <f>IF(AUXILIAR!$D$11=2,IF('CÁLCULO REVISIÓN'!$E220&gt;AUXILIAR!$G$39,"",'CÁLCULO REVISIÓN'!G220),"")</f>
      </c>
      <c r="F187" s="387">
        <f>IF(AUXILIAR!$D$11=2,IF('CÁLCULO REVISIÓN'!$E220&gt;AUXILIAR!$G$39,"",'CÁLCULO REVISIÓN'!I220),"")</f>
      </c>
      <c r="G187" s="756"/>
      <c r="H187" s="334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</row>
    <row r="188" spans="1:27" ht="12.75">
      <c r="A188" s="379"/>
      <c r="B188" s="379">
        <f>IF(AUXILIAR!$D$11=2,IF('CÁLCULO REVISIÓN'!$E221&gt;AUXILIAR!$G$39,"",'CÁLCULO REVISIÓN'!D221),"")</f>
      </c>
      <c r="C188" s="380">
        <f>IF(AUXILIAR!$D$11=2,IF('CÁLCULO REVISIÓN'!$E221&gt;AUXILIAR!$G$39,"",'CÁLCULO REVISIÓN'!E221),"")</f>
      </c>
      <c r="D188" s="387">
        <f>IF(AUXILIAR!$D$11=2,IF('CÁLCULO REVISIÓN'!$E221&gt;AUXILIAR!$G$39,"",'CÁLCULO REVISIÓN'!F221),"")</f>
      </c>
      <c r="E188" s="387">
        <f>IF(AUXILIAR!$D$11=2,IF('CÁLCULO REVISIÓN'!$E221&gt;AUXILIAR!$G$39,"",'CÁLCULO REVISIÓN'!G221),"")</f>
      </c>
      <c r="F188" s="387">
        <f>IF(AUXILIAR!$D$11=2,IF('CÁLCULO REVISIÓN'!$E221&gt;AUXILIAR!$G$39,"",'CÁLCULO REVISIÓN'!I221),"")</f>
      </c>
      <c r="G188" s="756"/>
      <c r="H188" s="334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</row>
    <row r="189" spans="1:27" ht="12.75">
      <c r="A189" s="379"/>
      <c r="B189" s="379">
        <f>IF(AUXILIAR!$D$11=2,IF('CÁLCULO REVISIÓN'!$E222&gt;AUXILIAR!$G$39,"",'CÁLCULO REVISIÓN'!D222),"")</f>
      </c>
      <c r="C189" s="380">
        <f>IF(AUXILIAR!$D$11=2,IF('CÁLCULO REVISIÓN'!$E222&gt;AUXILIAR!$G$39,"",'CÁLCULO REVISIÓN'!E222),"")</f>
      </c>
      <c r="D189" s="387">
        <f>IF(AUXILIAR!$D$11=2,IF('CÁLCULO REVISIÓN'!$E222&gt;AUXILIAR!$G$39,"",'CÁLCULO REVISIÓN'!F222),"")</f>
      </c>
      <c r="E189" s="387">
        <f>IF(AUXILIAR!$D$11=2,IF('CÁLCULO REVISIÓN'!$E222&gt;AUXILIAR!$G$39,"",'CÁLCULO REVISIÓN'!G222),"")</f>
      </c>
      <c r="F189" s="387">
        <f>IF(AUXILIAR!$D$11=2,IF('CÁLCULO REVISIÓN'!$E222&gt;AUXILIAR!$G$39,"",'CÁLCULO REVISIÓN'!I222),"")</f>
      </c>
      <c r="G189" s="756"/>
      <c r="H189" s="334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</row>
    <row r="190" spans="1:27" ht="12.75">
      <c r="A190" s="379"/>
      <c r="B190" s="379">
        <f>IF(AUXILIAR!$D$11=2,IF('CÁLCULO REVISIÓN'!$E223&gt;AUXILIAR!$G$39,"",'CÁLCULO REVISIÓN'!D223),"")</f>
      </c>
      <c r="C190" s="380">
        <f>IF(AUXILIAR!$D$11=2,IF('CÁLCULO REVISIÓN'!$E223&gt;AUXILIAR!$G$39,"",'CÁLCULO REVISIÓN'!E223),"")</f>
      </c>
      <c r="D190" s="387">
        <f>IF(AUXILIAR!$D$11=2,IF('CÁLCULO REVISIÓN'!$E223&gt;AUXILIAR!$G$39,"",'CÁLCULO REVISIÓN'!F223),"")</f>
      </c>
      <c r="E190" s="387">
        <f>IF(AUXILIAR!$D$11=2,IF('CÁLCULO REVISIÓN'!$E223&gt;AUXILIAR!$G$39,"",'CÁLCULO REVISIÓN'!G223),"")</f>
      </c>
      <c r="F190" s="387">
        <f>IF(AUXILIAR!$D$11=2,IF('CÁLCULO REVISIÓN'!$E223&gt;AUXILIAR!$G$39,"",'CÁLCULO REVISIÓN'!I223),"")</f>
      </c>
      <c r="G190" s="756"/>
      <c r="H190" s="334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</row>
    <row r="191" spans="1:27" ht="12.75">
      <c r="A191" s="379"/>
      <c r="B191" s="379">
        <f>IF(AUXILIAR!$D$11=2,IF('CÁLCULO REVISIÓN'!$E224&gt;AUXILIAR!$G$39,"",'CÁLCULO REVISIÓN'!D224),"")</f>
      </c>
      <c r="C191" s="380">
        <f>IF(AUXILIAR!$D$11=2,IF('CÁLCULO REVISIÓN'!$E224&gt;AUXILIAR!$G$39,"",'CÁLCULO REVISIÓN'!E224),"")</f>
      </c>
      <c r="D191" s="387">
        <f>IF(AUXILIAR!$D$11=2,IF('CÁLCULO REVISIÓN'!$E224&gt;AUXILIAR!$G$39,"",'CÁLCULO REVISIÓN'!F224),"")</f>
      </c>
      <c r="E191" s="387">
        <f>IF(AUXILIAR!$D$11=2,IF('CÁLCULO REVISIÓN'!$E224&gt;AUXILIAR!$G$39,"",'CÁLCULO REVISIÓN'!G224),"")</f>
      </c>
      <c r="F191" s="387">
        <f>IF(AUXILIAR!$D$11=2,IF('CÁLCULO REVISIÓN'!$E224&gt;AUXILIAR!$G$39,"",'CÁLCULO REVISIÓN'!I224),"")</f>
      </c>
      <c r="G191" s="756"/>
      <c r="H191" s="334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</row>
    <row r="192" spans="1:27" ht="12.75">
      <c r="A192" s="379"/>
      <c r="B192" s="379">
        <f>IF(AUXILIAR!$D$11=2,IF('CÁLCULO REVISIÓN'!$E225&gt;AUXILIAR!$G$39,"",'CÁLCULO REVISIÓN'!D225),"")</f>
      </c>
      <c r="C192" s="380">
        <f>IF(AUXILIAR!$D$11=2,IF('CÁLCULO REVISIÓN'!$E225&gt;AUXILIAR!$G$39,"",'CÁLCULO REVISIÓN'!E225),"")</f>
      </c>
      <c r="D192" s="387">
        <f>IF(AUXILIAR!$D$11=2,IF('CÁLCULO REVISIÓN'!$E225&gt;AUXILIAR!$G$39,"",'CÁLCULO REVISIÓN'!F225),"")</f>
      </c>
      <c r="E192" s="387">
        <f>IF(AUXILIAR!$D$11=2,IF('CÁLCULO REVISIÓN'!$E225&gt;AUXILIAR!$G$39,"",'CÁLCULO REVISIÓN'!G225),"")</f>
      </c>
      <c r="F192" s="387">
        <f>IF(AUXILIAR!$D$11=2,IF('CÁLCULO REVISIÓN'!$E225&gt;AUXILIAR!$G$39,"",'CÁLCULO REVISIÓN'!I225),"")</f>
      </c>
      <c r="G192" s="756"/>
      <c r="H192" s="334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</row>
    <row r="193" spans="1:27" ht="12.75">
      <c r="A193" s="379"/>
      <c r="B193" s="379">
        <f>IF(AUXILIAR!$D$11=2,IF('CÁLCULO REVISIÓN'!$E226&gt;AUXILIAR!$G$39,"",'CÁLCULO REVISIÓN'!D226),"")</f>
      </c>
      <c r="C193" s="380">
        <f>IF(AUXILIAR!$D$11=2,IF('CÁLCULO REVISIÓN'!$E226&gt;AUXILIAR!$G$39,"",'CÁLCULO REVISIÓN'!E226),"")</f>
      </c>
      <c r="D193" s="387">
        <f>IF(AUXILIAR!$D$11=2,IF('CÁLCULO REVISIÓN'!$E226&gt;AUXILIAR!$G$39,"",'CÁLCULO REVISIÓN'!F226),"")</f>
      </c>
      <c r="E193" s="387">
        <f>IF(AUXILIAR!$D$11=2,IF('CÁLCULO REVISIÓN'!$E226&gt;AUXILIAR!$G$39,"",'CÁLCULO REVISIÓN'!G226),"")</f>
      </c>
      <c r="F193" s="387">
        <f>IF(AUXILIAR!$D$11=2,IF('CÁLCULO REVISIÓN'!$E226&gt;AUXILIAR!$G$39,"",'CÁLCULO REVISIÓN'!I226),"")</f>
      </c>
      <c r="G193" s="756"/>
      <c r="H193" s="334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</row>
    <row r="194" spans="1:27" ht="12.75">
      <c r="A194" s="379"/>
      <c r="B194" s="379">
        <f>IF(AUXILIAR!$D$11=2,IF('CÁLCULO REVISIÓN'!$E227&gt;AUXILIAR!$G$39,"",'CÁLCULO REVISIÓN'!D227),"")</f>
      </c>
      <c r="C194" s="380">
        <f>IF(AUXILIAR!$D$11=2,IF('CÁLCULO REVISIÓN'!$E227&gt;AUXILIAR!$G$39,"",'CÁLCULO REVISIÓN'!E227),"")</f>
      </c>
      <c r="D194" s="387">
        <f>IF(AUXILIAR!$D$11=2,IF('CÁLCULO REVISIÓN'!$E227&gt;AUXILIAR!$G$39,"",'CÁLCULO REVISIÓN'!F227),"")</f>
      </c>
      <c r="E194" s="387">
        <f>IF(AUXILIAR!$D$11=2,IF('CÁLCULO REVISIÓN'!$E227&gt;AUXILIAR!$G$39,"",'CÁLCULO REVISIÓN'!G227),"")</f>
      </c>
      <c r="F194" s="387">
        <f>IF(AUXILIAR!$D$11=2,IF('CÁLCULO REVISIÓN'!$E227&gt;AUXILIAR!$G$39,"",'CÁLCULO REVISIÓN'!I227),"")</f>
      </c>
      <c r="G194" s="756"/>
      <c r="H194" s="334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</row>
    <row r="195" spans="1:27" ht="12.75">
      <c r="A195" s="379"/>
      <c r="B195" s="379">
        <f>IF(AUXILIAR!$D$11=2,IF('CÁLCULO REVISIÓN'!$E228&gt;AUXILIAR!$G$39,"",'CÁLCULO REVISIÓN'!D228),"")</f>
      </c>
      <c r="C195" s="380">
        <f>IF(AUXILIAR!$D$11=2,IF('CÁLCULO REVISIÓN'!$E228&gt;AUXILIAR!$G$39,"",'CÁLCULO REVISIÓN'!E228),"")</f>
      </c>
      <c r="D195" s="387">
        <f>IF(AUXILIAR!$D$11=2,IF('CÁLCULO REVISIÓN'!$E228&gt;AUXILIAR!$G$39,"",'CÁLCULO REVISIÓN'!F228),"")</f>
      </c>
      <c r="E195" s="387">
        <f>IF(AUXILIAR!$D$11=2,IF('CÁLCULO REVISIÓN'!$E228&gt;AUXILIAR!$G$39,"",'CÁLCULO REVISIÓN'!G228),"")</f>
      </c>
      <c r="F195" s="387">
        <f>IF(AUXILIAR!$D$11=2,IF('CÁLCULO REVISIÓN'!$E228&gt;AUXILIAR!$G$39,"",'CÁLCULO REVISIÓN'!I228),"")</f>
      </c>
      <c r="G195" s="756"/>
      <c r="H195" s="334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</row>
    <row r="196" spans="1:27" ht="10.5" customHeight="1">
      <c r="A196" s="335">
        <f>IF($H$22="","",'CÁLCULO REVISIÓN'!D233)</f>
      </c>
      <c r="B196" s="379">
        <f>IF(AUXILIAR!$D$11=2,IF('CÁLCULO REVISIÓN'!$E229&gt;AUXILIAR!$G$39,"",'CÁLCULO REVISIÓN'!D229),"")</f>
      </c>
      <c r="C196" s="380">
        <f>IF(AUXILIAR!$D$11=2,IF('CÁLCULO REVISIÓN'!$E229&gt;AUXILIAR!$G$39,"",'CÁLCULO REVISIÓN'!E229),"")</f>
      </c>
      <c r="D196" s="387">
        <f>IF(AUXILIAR!$D$11=2,IF('CÁLCULO REVISIÓN'!$E229&gt;AUXILIAR!$G$39,"",'CÁLCULO REVISIÓN'!F229),"")</f>
      </c>
      <c r="E196" s="387">
        <f>IF(AUXILIAR!$D$11=2,IF('CÁLCULO REVISIÓN'!$E229&gt;AUXILIAR!$G$39,"",'CÁLCULO REVISIÓN'!G229),"")</f>
      </c>
      <c r="F196" s="387">
        <f>IF(AUXILIAR!$D$11=2,IF('CÁLCULO REVISIÓN'!$E229&gt;AUXILIAR!$G$39,"",'CÁLCULO REVISIÓN'!I229),"")</f>
      </c>
      <c r="G196" s="756"/>
      <c r="H196" s="334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</row>
    <row r="197" spans="1:27" ht="10.5" customHeight="1">
      <c r="A197" s="362"/>
      <c r="B197" s="379">
        <f>IF(AUXILIAR!$D$11=2,IF('CÁLCULO REVISIÓN'!$E230&gt;AUXILIAR!$G$39,"",'CÁLCULO REVISIÓN'!D230),"")</f>
      </c>
      <c r="C197" s="380">
        <f>IF(AUXILIAR!$D$11=2,IF('CÁLCULO REVISIÓN'!$E230&gt;AUXILIAR!$G$39,"",'CÁLCULO REVISIÓN'!E230),"")</f>
      </c>
      <c r="D197" s="387">
        <f>IF(AUXILIAR!$D$11=2,IF('CÁLCULO REVISIÓN'!$E230&gt;AUXILIAR!$G$39,"",'CÁLCULO REVISIÓN'!F230),"")</f>
      </c>
      <c r="E197" s="387">
        <f>IF(AUXILIAR!$D$11=2,IF('CÁLCULO REVISIÓN'!$E230&gt;AUXILIAR!$G$39,"",'CÁLCULO REVISIÓN'!G230),"")</f>
      </c>
      <c r="F197" s="387">
        <f>IF(AUXILIAR!$D$11=2,IF('CÁLCULO REVISIÓN'!$E230&gt;AUXILIAR!$G$39,"",'CÁLCULO REVISIÓN'!I230),"")</f>
      </c>
      <c r="G197" s="416"/>
      <c r="H197" s="334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</row>
    <row r="198" spans="1:27" ht="10.5" customHeight="1">
      <c r="A198" s="362"/>
      <c r="B198" s="379">
        <f>IF(AUXILIAR!$D$11=2,IF('CÁLCULO REVISIÓN'!$E231&gt;AUXILIAR!$G$39,"",'CÁLCULO REVISIÓN'!D231),"")</f>
      </c>
      <c r="C198" s="380">
        <f>IF(AUXILIAR!$D$11=2,IF('CÁLCULO REVISIÓN'!$E231&gt;AUXILIAR!$G$39,"",'CÁLCULO REVISIÓN'!E231),"")</f>
      </c>
      <c r="D198" s="387">
        <f>IF(AUXILIAR!$D$11=2,IF('CÁLCULO REVISIÓN'!$E231&gt;AUXILIAR!$G$39,"",'CÁLCULO REVISIÓN'!F231),"")</f>
      </c>
      <c r="E198" s="387">
        <f>IF(AUXILIAR!$D$11=2,IF('CÁLCULO REVISIÓN'!$E231&gt;AUXILIAR!$G$39,"",'CÁLCULO REVISIÓN'!G231),"")</f>
      </c>
      <c r="F198" s="387">
        <f>IF(AUXILIAR!$D$11=2,IF('CÁLCULO REVISIÓN'!$E231&gt;AUXILIAR!$G$39,"",'CÁLCULO REVISIÓN'!I231),"")</f>
      </c>
      <c r="G198" s="416"/>
      <c r="H198" s="334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</row>
    <row r="199" spans="1:27" ht="10.5" customHeight="1">
      <c r="A199" s="362"/>
      <c r="B199" s="379">
        <f>IF(AUXILIAR!$D$11=2,IF('CÁLCULO REVISIÓN'!$E232&gt;AUXILIAR!$G$39,"",'CÁLCULO REVISIÓN'!D232),"")</f>
      </c>
      <c r="C199" s="380">
        <f>IF(AUXILIAR!$D$11=2,IF('CÁLCULO REVISIÓN'!$E232&gt;AUXILIAR!$G$39,"",'CÁLCULO REVISIÓN'!E232),"")</f>
      </c>
      <c r="D199" s="387">
        <f>IF(AUXILIAR!$D$11=2,IF('CÁLCULO REVISIÓN'!$E232&gt;AUXILIAR!$G$39,"",'CÁLCULO REVISIÓN'!F232),"")</f>
      </c>
      <c r="E199" s="387">
        <f>IF(AUXILIAR!$D$11=2,IF('CÁLCULO REVISIÓN'!$E232&gt;AUXILIAR!$G$39,"",'CÁLCULO REVISIÓN'!G232),"")</f>
      </c>
      <c r="F199" s="387">
        <f>IF(AUXILIAR!$D$11=2,IF('CÁLCULO REVISIÓN'!$E232&gt;AUXILIAR!$G$39,"",'CÁLCULO REVISIÓN'!I232),"")</f>
      </c>
      <c r="G199" s="416"/>
      <c r="H199" s="334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</row>
    <row r="200" spans="1:27" ht="10.5" customHeight="1">
      <c r="A200" s="362"/>
      <c r="B200" s="379">
        <f>IF(AUXILIAR!$D$11=2,IF('CÁLCULO REVISIÓN'!$E233&gt;AUXILIAR!$G$39,"",'CÁLCULO REVISIÓN'!D233),"")</f>
      </c>
      <c r="C200" s="380">
        <f>IF(AUXILIAR!$D$11=2,IF('CÁLCULO REVISIÓN'!$E233&gt;AUXILIAR!$G$39,"",'CÁLCULO REVISIÓN'!E233),"")</f>
      </c>
      <c r="D200" s="387">
        <f>IF(AUXILIAR!$D$11=2,IF('CÁLCULO REVISIÓN'!$E233&gt;AUXILIAR!$G$39,"",'CÁLCULO REVISIÓN'!F233),"")</f>
      </c>
      <c r="E200" s="387">
        <f>IF(AUXILIAR!$D$11=2,IF('CÁLCULO REVISIÓN'!$E233&gt;AUXILIAR!$G$39,"",'CÁLCULO REVISIÓN'!G233),"")</f>
      </c>
      <c r="F200" s="387">
        <f>IF(AUXILIAR!$D$11=2,IF('CÁLCULO REVISIÓN'!$E233&gt;AUXILIAR!$G$39,"",'CÁLCULO REVISIÓN'!I233),"")</f>
      </c>
      <c r="G200" s="416"/>
      <c r="H200" s="334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</row>
    <row r="201" spans="1:27" ht="12.75">
      <c r="A201" s="746"/>
      <c r="B201" s="746"/>
      <c r="C201" s="514">
        <f>IF(F24="","","Total Revisión Certificaciones")</f>
      </c>
      <c r="D201" s="514"/>
      <c r="E201" s="514"/>
      <c r="F201" s="386">
        <f>IF(F24="","",ROUND('CÁLCULO REVISIÓN'!F241:G241,2))</f>
      </c>
      <c r="G201" s="343">
        <f>IF(F24="","","€")</f>
      </c>
      <c r="H201" s="333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</row>
    <row r="202" spans="1:27" ht="6.75" customHeight="1">
      <c r="A202" s="746"/>
      <c r="B202" s="746"/>
      <c r="C202" s="333"/>
      <c r="D202" s="333"/>
      <c r="E202" s="333"/>
      <c r="F202" s="333"/>
      <c r="G202" s="333"/>
      <c r="H202" s="333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</row>
    <row r="203" spans="1:27" ht="13.5">
      <c r="A203" s="335"/>
      <c r="B203" s="390">
        <f>IF($F$24="","",CONCATENATE("Revisión del Saldo de Liquidación: FÓRMULA Nº ",FÓRMULAS!$C$9))</f>
      </c>
      <c r="D203" s="348"/>
      <c r="E203" s="348"/>
      <c r="F203" s="348"/>
      <c r="G203" s="348"/>
      <c r="H203" s="348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</row>
    <row r="204" spans="1:27" ht="12.75">
      <c r="A204" s="746"/>
      <c r="B204" s="746"/>
      <c r="C204" s="333"/>
      <c r="D204" s="211">
        <f>IF($F$24="","","Legislación aplicable")</f>
      </c>
      <c r="E204" s="333">
        <f>IF(F24="","",'CÁLCULO REVISIÓN'!E245)</f>
      </c>
      <c r="F204" s="333"/>
      <c r="G204" s="333"/>
      <c r="H204" s="333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</row>
    <row r="205" spans="1:27" ht="12.75">
      <c r="A205" s="746"/>
      <c r="B205" s="746"/>
      <c r="C205" s="333"/>
      <c r="D205" s="211">
        <f>IF($F$24="","","Coeficiente medio")</f>
      </c>
      <c r="E205" s="333">
        <f>IF(F24="","",'CÁLCULO REVISIÓN'!K247)</f>
      </c>
      <c r="F205" s="333"/>
      <c r="G205" s="333"/>
      <c r="H205" s="333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</row>
    <row r="206" spans="1:27" ht="12.75">
      <c r="A206" s="746"/>
      <c r="B206" s="746"/>
      <c r="C206" s="334"/>
      <c r="D206" s="367">
        <f>IF(F24="","","Pendiente de certificar")</f>
      </c>
      <c r="E206" s="772">
        <f>IF(F24="","",'CÁLCULO REVISIÓN'!K252)</f>
      </c>
      <c r="F206" s="772"/>
      <c r="G206" s="333">
        <f>IF(F24="","","€")</f>
      </c>
      <c r="H206" s="333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</row>
    <row r="207" spans="1:27" ht="12.75">
      <c r="A207" s="746"/>
      <c r="B207" s="746"/>
      <c r="C207" s="334"/>
      <c r="D207" s="367">
        <f>IF(F24="","","Adicional de liquidación")</f>
      </c>
      <c r="E207" s="772">
        <f>IF(F24="","",'CÁLCULO REVISIÓN'!K253)</f>
      </c>
      <c r="F207" s="772"/>
      <c r="G207" s="333">
        <f>IF(F24="","","€")</f>
      </c>
      <c r="H207" s="333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</row>
    <row r="208" spans="1:27" ht="12.75">
      <c r="A208" s="746"/>
      <c r="B208" s="746"/>
      <c r="C208" s="334"/>
      <c r="D208" s="367">
        <f>IF(F24="","","Certificación Final de Obra")</f>
      </c>
      <c r="E208" s="772">
        <f>IF(F24="","",'CÁLCULO REVISIÓN'!K254)</f>
      </c>
      <c r="F208" s="772"/>
      <c r="G208" s="333">
        <f>IF(F24="","","€")</f>
      </c>
      <c r="H208" s="333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</row>
    <row r="209" spans="1:27" ht="12.75">
      <c r="A209" s="746"/>
      <c r="B209" s="746"/>
      <c r="C209" s="775">
        <f>IF(F24="","","Revisión de Precios del Saldo de Liquidación")</f>
      </c>
      <c r="D209" s="775"/>
      <c r="E209" s="730">
        <f>IF(F24="","",ROUND('CÁLCULO REVISIÓN'!K255,2))</f>
      </c>
      <c r="F209" s="726"/>
      <c r="G209" s="776">
        <f>IF(F24="","","€")</f>
      </c>
      <c r="H209" s="333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</row>
    <row r="210" spans="1:27" ht="12.75">
      <c r="A210" s="746"/>
      <c r="B210" s="746"/>
      <c r="C210" s="775"/>
      <c r="D210" s="775"/>
      <c r="E210" s="726"/>
      <c r="F210" s="726"/>
      <c r="G210" s="776"/>
      <c r="H210" s="333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</row>
    <row r="211" spans="1:27" ht="6.75" customHeight="1">
      <c r="A211" s="746"/>
      <c r="B211" s="746"/>
      <c r="C211" s="333"/>
      <c r="D211" s="333"/>
      <c r="E211" s="333"/>
      <c r="F211" s="333"/>
      <c r="G211" s="333"/>
      <c r="H211" s="333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</row>
    <row r="212" spans="1:27" ht="12.75">
      <c r="A212" s="362"/>
      <c r="B212" s="362"/>
      <c r="C212" s="333"/>
      <c r="D212" s="333"/>
      <c r="E212" s="333"/>
      <c r="F212" s="333"/>
      <c r="G212" s="333"/>
      <c r="H212" s="333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</row>
    <row r="213" spans="1:27" ht="15">
      <c r="A213" s="746"/>
      <c r="B213" s="746"/>
      <c r="C213" s="773">
        <f>IF(F24="","",CONCATENATE("TOTAL REV. PRECIOS FÓRMULA Nº ",FÓRMULAS!C9))</f>
      </c>
      <c r="D213" s="773"/>
      <c r="E213" s="773"/>
      <c r="F213" s="773"/>
      <c r="G213" s="774">
        <f>IF(F24="","",CONCATENATE(F201+E209," €"))</f>
      </c>
      <c r="H213" s="774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</row>
    <row r="214" spans="1:27" ht="12.75">
      <c r="A214" s="195"/>
      <c r="B214" s="195"/>
      <c r="C214" s="195"/>
      <c r="D214" s="195"/>
      <c r="E214" s="195"/>
      <c r="F214" s="195"/>
      <c r="G214" s="195"/>
      <c r="H214" s="195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</row>
    <row r="215" spans="1:27" ht="12.75">
      <c r="A215" s="195"/>
      <c r="B215" s="195"/>
      <c r="C215" s="195"/>
      <c r="D215" s="195"/>
      <c r="E215" s="195"/>
      <c r="F215" s="195"/>
      <c r="G215" s="195"/>
      <c r="H215" s="195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</row>
    <row r="216" spans="1:27" ht="12.75">
      <c r="A216" s="195"/>
      <c r="B216" s="195"/>
      <c r="C216" s="195"/>
      <c r="D216" s="195"/>
      <c r="E216" s="195"/>
      <c r="F216" s="195"/>
      <c r="G216" s="195"/>
      <c r="H216" s="195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</row>
    <row r="217" spans="1:27" ht="12.75">
      <c r="A217" s="195"/>
      <c r="B217" s="195"/>
      <c r="C217" s="195"/>
      <c r="D217" s="195"/>
      <c r="E217" s="195"/>
      <c r="F217" s="195"/>
      <c r="G217" s="195"/>
      <c r="H217" s="195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</row>
    <row r="218" spans="1:27" ht="12.75">
      <c r="A218" s="195"/>
      <c r="B218" s="195"/>
      <c r="C218" s="195"/>
      <c r="D218" s="195"/>
      <c r="E218" s="195"/>
      <c r="F218" s="195"/>
      <c r="G218" s="195"/>
      <c r="H218" s="195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</row>
    <row r="219" spans="1:27" ht="12.75">
      <c r="A219" s="195"/>
      <c r="B219" s="195"/>
      <c r="C219" s="195"/>
      <c r="D219" s="195"/>
      <c r="E219" s="195"/>
      <c r="F219" s="195"/>
      <c r="G219" s="195"/>
      <c r="H219" s="195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</row>
    <row r="220" spans="1:27" ht="12.75">
      <c r="A220" s="195"/>
      <c r="B220" s="195"/>
      <c r="C220" s="195"/>
      <c r="D220" s="195"/>
      <c r="E220" s="195"/>
      <c r="F220" s="195"/>
      <c r="G220" s="195"/>
      <c r="H220" s="195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</row>
    <row r="221" spans="1:27" ht="12.75">
      <c r="A221" s="195"/>
      <c r="B221" s="195"/>
      <c r="C221" s="195"/>
      <c r="D221" s="195"/>
      <c r="E221" s="195"/>
      <c r="F221" s="195"/>
      <c r="G221" s="195"/>
      <c r="H221" s="195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</row>
    <row r="222" spans="1:27" ht="12.75">
      <c r="A222" s="195"/>
      <c r="B222" s="195"/>
      <c r="C222" s="195"/>
      <c r="D222" s="195"/>
      <c r="E222" s="195"/>
      <c r="F222" s="195"/>
      <c r="G222" s="195"/>
      <c r="H222" s="195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</row>
    <row r="223" spans="1:27" ht="12.75">
      <c r="A223" s="195"/>
      <c r="B223" s="195"/>
      <c r="C223" s="195"/>
      <c r="D223" s="195"/>
      <c r="E223" s="195"/>
      <c r="F223" s="195"/>
      <c r="G223" s="195"/>
      <c r="H223" s="195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</row>
    <row r="224" spans="1:27" ht="12.75">
      <c r="A224" s="195"/>
      <c r="B224" s="195"/>
      <c r="C224" s="195"/>
      <c r="D224" s="195"/>
      <c r="E224" s="195"/>
      <c r="F224" s="195"/>
      <c r="G224" s="195"/>
      <c r="H224" s="195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</row>
    <row r="225" spans="1:27" ht="12.75">
      <c r="A225" s="195"/>
      <c r="B225" s="195"/>
      <c r="C225" s="195"/>
      <c r="D225" s="195"/>
      <c r="E225" s="195"/>
      <c r="F225" s="195"/>
      <c r="G225" s="195"/>
      <c r="H225" s="195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</row>
    <row r="226" spans="1:27" ht="12.75">
      <c r="A226" s="195"/>
      <c r="B226" s="195"/>
      <c r="C226" s="195"/>
      <c r="D226" s="195"/>
      <c r="E226" s="195"/>
      <c r="F226" s="195"/>
      <c r="G226" s="195"/>
      <c r="H226" s="195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</row>
    <row r="227" spans="1:27" ht="12.75">
      <c r="A227" s="195"/>
      <c r="B227" s="195"/>
      <c r="C227" s="195"/>
      <c r="D227" s="195"/>
      <c r="E227" s="195"/>
      <c r="F227" s="195"/>
      <c r="G227" s="195"/>
      <c r="H227" s="195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</row>
    <row r="228" spans="1:27" ht="12.75">
      <c r="A228" s="195"/>
      <c r="B228" s="195"/>
      <c r="C228" s="195"/>
      <c r="D228" s="195"/>
      <c r="E228" s="195"/>
      <c r="F228" s="195"/>
      <c r="G228" s="195"/>
      <c r="H228" s="195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</row>
    <row r="229" spans="1:27" ht="12.75">
      <c r="A229" s="195"/>
      <c r="B229" s="195"/>
      <c r="C229" s="195"/>
      <c r="D229" s="195"/>
      <c r="E229" s="195"/>
      <c r="F229" s="195"/>
      <c r="G229" s="195"/>
      <c r="H229" s="195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</row>
    <row r="230" spans="1:27" ht="12.75">
      <c r="A230" s="195"/>
      <c r="B230" s="195"/>
      <c r="C230" s="195"/>
      <c r="D230" s="195"/>
      <c r="E230" s="195"/>
      <c r="F230" s="195"/>
      <c r="G230" s="195"/>
      <c r="H230" s="195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</row>
    <row r="231" spans="1:27" ht="12.75">
      <c r="A231" s="195"/>
      <c r="B231" s="195"/>
      <c r="C231" s="195"/>
      <c r="D231" s="195"/>
      <c r="E231" s="195"/>
      <c r="F231" s="195"/>
      <c r="G231" s="195"/>
      <c r="H231" s="195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</row>
    <row r="232" spans="1:27" ht="12.75">
      <c r="A232" s="195"/>
      <c r="B232" s="195"/>
      <c r="C232" s="195"/>
      <c r="D232" s="195"/>
      <c r="E232" s="195"/>
      <c r="F232" s="195"/>
      <c r="G232" s="195"/>
      <c r="H232" s="195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</row>
    <row r="233" spans="1:27" ht="12.75">
      <c r="A233" s="195"/>
      <c r="B233" s="195"/>
      <c r="C233" s="195"/>
      <c r="D233" s="195"/>
      <c r="E233" s="195"/>
      <c r="F233" s="195"/>
      <c r="G233" s="195"/>
      <c r="H233" s="195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</row>
    <row r="234" spans="1:27" ht="12.75">
      <c r="A234" s="195"/>
      <c r="B234" s="195"/>
      <c r="C234" s="195"/>
      <c r="D234" s="195"/>
      <c r="E234" s="195"/>
      <c r="F234" s="195"/>
      <c r="G234" s="195"/>
      <c r="H234" s="195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</row>
    <row r="235" spans="1:27" ht="12.75">
      <c r="A235" s="195"/>
      <c r="B235" s="195"/>
      <c r="C235" s="195"/>
      <c r="D235" s="195"/>
      <c r="E235" s="195"/>
      <c r="F235" s="195"/>
      <c r="G235" s="195"/>
      <c r="H235" s="195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</row>
    <row r="236" spans="1:27" ht="12.75">
      <c r="A236" s="195"/>
      <c r="B236" s="195"/>
      <c r="C236" s="195"/>
      <c r="D236" s="195"/>
      <c r="E236" s="195"/>
      <c r="F236" s="195"/>
      <c r="G236" s="195"/>
      <c r="H236" s="195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</row>
    <row r="237" spans="1:27" ht="12.75">
      <c r="A237" s="195"/>
      <c r="B237" s="195"/>
      <c r="C237" s="195"/>
      <c r="D237" s="195"/>
      <c r="E237" s="195"/>
      <c r="F237" s="195"/>
      <c r="G237" s="195"/>
      <c r="H237" s="195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</row>
    <row r="238" spans="1:27" ht="12.75">
      <c r="A238" s="195"/>
      <c r="B238" s="195"/>
      <c r="C238" s="195"/>
      <c r="D238" s="195"/>
      <c r="E238" s="195"/>
      <c r="F238" s="195"/>
      <c r="G238" s="195"/>
      <c r="H238" s="195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</row>
    <row r="239" spans="1:27" ht="12.75">
      <c r="A239" s="195"/>
      <c r="B239" s="195"/>
      <c r="C239" s="195"/>
      <c r="D239" s="195"/>
      <c r="E239" s="195"/>
      <c r="F239" s="195"/>
      <c r="G239" s="195"/>
      <c r="H239" s="195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</row>
    <row r="240" spans="1:27" ht="12.75">
      <c r="A240" s="195"/>
      <c r="B240" s="195"/>
      <c r="C240" s="195"/>
      <c r="D240" s="195"/>
      <c r="E240" s="195"/>
      <c r="F240" s="195"/>
      <c r="G240" s="195"/>
      <c r="H240" s="195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</row>
    <row r="241" spans="1:27" ht="12.75">
      <c r="A241" s="195"/>
      <c r="B241" s="195"/>
      <c r="C241" s="195"/>
      <c r="D241" s="195"/>
      <c r="E241" s="195"/>
      <c r="F241" s="195"/>
      <c r="G241" s="195"/>
      <c r="H241" s="195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</row>
    <row r="242" spans="1:27" ht="12.75">
      <c r="A242" s="195"/>
      <c r="B242" s="195"/>
      <c r="C242" s="195"/>
      <c r="D242" s="195"/>
      <c r="E242" s="195"/>
      <c r="F242" s="195"/>
      <c r="G242" s="195"/>
      <c r="H242" s="195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</row>
    <row r="243" spans="1:27" ht="12.75">
      <c r="A243" s="195"/>
      <c r="B243" s="195"/>
      <c r="C243" s="195"/>
      <c r="D243" s="195"/>
      <c r="E243" s="195"/>
      <c r="F243" s="195"/>
      <c r="G243" s="195"/>
      <c r="H243" s="195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</row>
    <row r="244" spans="1:27" ht="12.75">
      <c r="A244" s="195"/>
      <c r="B244" s="195"/>
      <c r="C244" s="195"/>
      <c r="D244" s="195"/>
      <c r="E244" s="195"/>
      <c r="F244" s="195"/>
      <c r="G244" s="195"/>
      <c r="H244" s="195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</row>
    <row r="245" spans="1:27" ht="12.75">
      <c r="A245" s="195"/>
      <c r="B245" s="195"/>
      <c r="C245" s="195"/>
      <c r="D245" s="195"/>
      <c r="E245" s="195"/>
      <c r="F245" s="195"/>
      <c r="G245" s="195"/>
      <c r="H245" s="195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</row>
    <row r="246" spans="1:27" ht="12.75">
      <c r="A246" s="195"/>
      <c r="B246" s="195"/>
      <c r="C246" s="195"/>
      <c r="D246" s="195"/>
      <c r="E246" s="195"/>
      <c r="F246" s="195"/>
      <c r="G246" s="195"/>
      <c r="H246" s="195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</row>
    <row r="247" spans="1:27" ht="12.75">
      <c r="A247" s="195"/>
      <c r="B247" s="195"/>
      <c r="C247" s="195"/>
      <c r="D247" s="195"/>
      <c r="E247" s="195"/>
      <c r="F247" s="195"/>
      <c r="G247" s="195"/>
      <c r="H247" s="195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</row>
    <row r="248" spans="1:27" ht="12.75">
      <c r="A248" s="195"/>
      <c r="B248" s="195"/>
      <c r="C248" s="195"/>
      <c r="D248" s="195"/>
      <c r="E248" s="195"/>
      <c r="F248" s="195"/>
      <c r="G248" s="195"/>
      <c r="H248" s="195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</row>
    <row r="249" spans="1:27" ht="12.75">
      <c r="A249" s="195"/>
      <c r="B249" s="195"/>
      <c r="C249" s="195"/>
      <c r="D249" s="195"/>
      <c r="E249" s="195"/>
      <c r="F249" s="195"/>
      <c r="G249" s="195"/>
      <c r="H249" s="195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</row>
    <row r="250" spans="1:27" ht="12.75">
      <c r="A250" s="195"/>
      <c r="B250" s="195"/>
      <c r="C250" s="195"/>
      <c r="D250" s="195"/>
      <c r="E250" s="195"/>
      <c r="F250" s="195"/>
      <c r="G250" s="195"/>
      <c r="H250" s="195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</row>
    <row r="251" spans="1:27" ht="12.75">
      <c r="A251" s="195"/>
      <c r="B251" s="195"/>
      <c r="C251" s="195"/>
      <c r="D251" s="195"/>
      <c r="E251" s="195"/>
      <c r="F251" s="195"/>
      <c r="G251" s="195"/>
      <c r="H251" s="195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</row>
    <row r="252" spans="1:27" ht="12.75">
      <c r="A252" s="195"/>
      <c r="B252" s="195"/>
      <c r="C252" s="195"/>
      <c r="D252" s="195"/>
      <c r="E252" s="195"/>
      <c r="F252" s="195"/>
      <c r="G252" s="195"/>
      <c r="H252" s="195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</row>
    <row r="253" spans="1:27" ht="12.75">
      <c r="A253" s="195"/>
      <c r="B253" s="195"/>
      <c r="C253" s="195"/>
      <c r="D253" s="195"/>
      <c r="E253" s="195"/>
      <c r="F253" s="195"/>
      <c r="G253" s="195"/>
      <c r="H253" s="195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</row>
    <row r="254" spans="1:27" ht="12.75">
      <c r="A254" s="195"/>
      <c r="B254" s="195"/>
      <c r="C254" s="195"/>
      <c r="D254" s="195"/>
      <c r="E254" s="195"/>
      <c r="F254" s="195"/>
      <c r="G254" s="195"/>
      <c r="H254" s="195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</row>
    <row r="255" spans="1:27" ht="12.75">
      <c r="A255" s="195"/>
      <c r="B255" s="195"/>
      <c r="C255" s="195"/>
      <c r="D255" s="195"/>
      <c r="E255" s="195"/>
      <c r="F255" s="195"/>
      <c r="G255" s="195"/>
      <c r="H255" s="195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</row>
    <row r="256" spans="1:27" ht="12.75">
      <c r="A256" s="195"/>
      <c r="B256" s="195"/>
      <c r="C256" s="195"/>
      <c r="D256" s="195"/>
      <c r="E256" s="195"/>
      <c r="F256" s="195"/>
      <c r="G256" s="195"/>
      <c r="H256" s="195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</row>
    <row r="257" spans="1:27" ht="12.75">
      <c r="A257" s="195"/>
      <c r="B257" s="195"/>
      <c r="C257" s="195"/>
      <c r="D257" s="195"/>
      <c r="E257" s="195"/>
      <c r="F257" s="195"/>
      <c r="G257" s="195"/>
      <c r="H257" s="195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</row>
    <row r="258" spans="1:27" ht="12.75">
      <c r="A258" s="195"/>
      <c r="B258" s="195"/>
      <c r="C258" s="195"/>
      <c r="D258" s="195"/>
      <c r="E258" s="195"/>
      <c r="F258" s="195"/>
      <c r="G258" s="195"/>
      <c r="H258" s="195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</row>
    <row r="259" spans="1:27" ht="12.75">
      <c r="A259" s="195"/>
      <c r="B259" s="195"/>
      <c r="C259" s="195"/>
      <c r="D259" s="195"/>
      <c r="E259" s="195"/>
      <c r="F259" s="195"/>
      <c r="G259" s="195"/>
      <c r="H259" s="195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</row>
    <row r="260" spans="1:27" ht="12.75">
      <c r="A260" s="195"/>
      <c r="B260" s="195"/>
      <c r="C260" s="195"/>
      <c r="D260" s="195"/>
      <c r="E260" s="195"/>
      <c r="F260" s="195"/>
      <c r="G260" s="195"/>
      <c r="H260" s="195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</row>
    <row r="261" spans="1:27" ht="12.75">
      <c r="A261" s="195"/>
      <c r="B261" s="195"/>
      <c r="C261" s="195"/>
      <c r="D261" s="195"/>
      <c r="E261" s="195"/>
      <c r="F261" s="195"/>
      <c r="G261" s="195"/>
      <c r="H261" s="195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</row>
    <row r="262" spans="1:27" ht="12.75">
      <c r="A262" s="195"/>
      <c r="B262" s="195"/>
      <c r="C262" s="195"/>
      <c r="D262" s="195"/>
      <c r="E262" s="195"/>
      <c r="F262" s="195"/>
      <c r="G262" s="195"/>
      <c r="H262" s="195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</row>
    <row r="263" spans="1:27" ht="12.75">
      <c r="A263" s="195"/>
      <c r="B263" s="195"/>
      <c r="C263" s="195"/>
      <c r="D263" s="195"/>
      <c r="E263" s="195"/>
      <c r="F263" s="195"/>
      <c r="G263" s="195"/>
      <c r="H263" s="195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</row>
    <row r="264" spans="1:27" ht="12.75">
      <c r="A264" s="195"/>
      <c r="B264" s="195"/>
      <c r="C264" s="195"/>
      <c r="D264" s="195"/>
      <c r="E264" s="195"/>
      <c r="F264" s="195"/>
      <c r="G264" s="195"/>
      <c r="H264" s="195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</row>
    <row r="265" spans="1:27" ht="12.75">
      <c r="A265" s="195"/>
      <c r="B265" s="195"/>
      <c r="C265" s="195"/>
      <c r="D265" s="195"/>
      <c r="E265" s="195"/>
      <c r="F265" s="195"/>
      <c r="G265" s="195"/>
      <c r="H265" s="195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</row>
    <row r="266" spans="1:27" ht="12.75">
      <c r="A266" s="195"/>
      <c r="B266" s="195"/>
      <c r="C266" s="195"/>
      <c r="D266" s="195"/>
      <c r="E266" s="195"/>
      <c r="F266" s="195"/>
      <c r="G266" s="195"/>
      <c r="H266" s="195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</row>
    <row r="267" spans="1:27" ht="12.75">
      <c r="A267" s="195"/>
      <c r="B267" s="195"/>
      <c r="C267" s="195"/>
      <c r="D267" s="195"/>
      <c r="E267" s="195"/>
      <c r="F267" s="195"/>
      <c r="G267" s="195"/>
      <c r="H267" s="195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</row>
    <row r="268" spans="1:27" ht="12.75">
      <c r="A268" s="195"/>
      <c r="B268" s="195"/>
      <c r="C268" s="195"/>
      <c r="D268" s="195"/>
      <c r="E268" s="195"/>
      <c r="F268" s="195"/>
      <c r="G268" s="195"/>
      <c r="H268" s="195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</row>
    <row r="269" spans="1:27" ht="12.75">
      <c r="A269" s="195"/>
      <c r="B269" s="195"/>
      <c r="C269" s="195"/>
      <c r="D269" s="195"/>
      <c r="E269" s="195"/>
      <c r="F269" s="195"/>
      <c r="G269" s="195"/>
      <c r="H269" s="195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</row>
    <row r="270" spans="1:27" ht="12.75">
      <c r="A270" s="195"/>
      <c r="B270" s="195"/>
      <c r="C270" s="195"/>
      <c r="D270" s="195"/>
      <c r="E270" s="195"/>
      <c r="F270" s="195"/>
      <c r="G270" s="195"/>
      <c r="H270" s="195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</row>
    <row r="271" spans="1:27" ht="12.75">
      <c r="A271" s="195"/>
      <c r="B271" s="195"/>
      <c r="C271" s="195"/>
      <c r="D271" s="195"/>
      <c r="E271" s="195"/>
      <c r="F271" s="195"/>
      <c r="G271" s="195"/>
      <c r="H271" s="195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</row>
    <row r="272" spans="1:27" ht="12.75">
      <c r="A272" s="195"/>
      <c r="B272" s="195"/>
      <c r="C272" s="195"/>
      <c r="D272" s="195"/>
      <c r="E272" s="195"/>
      <c r="F272" s="195"/>
      <c r="G272" s="195"/>
      <c r="H272" s="195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</row>
    <row r="273" spans="1:27" ht="12.75">
      <c r="A273" s="195"/>
      <c r="B273" s="195"/>
      <c r="C273" s="195"/>
      <c r="D273" s="195"/>
      <c r="E273" s="195"/>
      <c r="F273" s="195"/>
      <c r="G273" s="195"/>
      <c r="H273" s="195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</row>
    <row r="274" spans="1:27" ht="12.75">
      <c r="A274" s="195"/>
      <c r="B274" s="195"/>
      <c r="C274" s="195"/>
      <c r="D274" s="195"/>
      <c r="E274" s="195"/>
      <c r="F274" s="195"/>
      <c r="G274" s="195"/>
      <c r="H274" s="195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</row>
    <row r="275" spans="1:27" ht="12.75">
      <c r="A275" s="195"/>
      <c r="B275" s="195"/>
      <c r="C275" s="195"/>
      <c r="D275" s="195"/>
      <c r="E275" s="195"/>
      <c r="F275" s="195"/>
      <c r="G275" s="195"/>
      <c r="H275" s="195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</row>
    <row r="276" spans="1:27" ht="12.75">
      <c r="A276" s="195"/>
      <c r="B276" s="195"/>
      <c r="C276" s="195"/>
      <c r="D276" s="195"/>
      <c r="E276" s="195"/>
      <c r="F276" s="195"/>
      <c r="G276" s="195"/>
      <c r="H276" s="195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</row>
    <row r="277" spans="1:27" ht="12.75">
      <c r="A277" s="195"/>
      <c r="B277" s="195"/>
      <c r="C277" s="195"/>
      <c r="D277" s="195"/>
      <c r="E277" s="195"/>
      <c r="F277" s="195"/>
      <c r="G277" s="195"/>
      <c r="H277" s="195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</row>
    <row r="278" spans="1:27" ht="12.75">
      <c r="A278" s="195"/>
      <c r="B278" s="195"/>
      <c r="C278" s="195"/>
      <c r="D278" s="195"/>
      <c r="E278" s="195"/>
      <c r="F278" s="195"/>
      <c r="G278" s="195"/>
      <c r="H278" s="195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</row>
    <row r="279" spans="1:27" ht="12.75">
      <c r="A279" s="195"/>
      <c r="B279" s="195"/>
      <c r="C279" s="195"/>
      <c r="D279" s="195"/>
      <c r="E279" s="195"/>
      <c r="F279" s="195"/>
      <c r="G279" s="195"/>
      <c r="H279" s="195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</row>
    <row r="280" spans="1:27" ht="12.75">
      <c r="A280" s="195"/>
      <c r="B280" s="195"/>
      <c r="C280" s="195"/>
      <c r="D280" s="195"/>
      <c r="E280" s="195"/>
      <c r="F280" s="195"/>
      <c r="G280" s="195"/>
      <c r="H280" s="195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</row>
    <row r="281" spans="1:27" ht="12.75">
      <c r="A281" s="195"/>
      <c r="B281" s="195"/>
      <c r="C281" s="195"/>
      <c r="D281" s="195"/>
      <c r="E281" s="195"/>
      <c r="F281" s="195"/>
      <c r="G281" s="195"/>
      <c r="H281" s="195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</row>
    <row r="282" spans="1:27" ht="12.75">
      <c r="A282" s="195"/>
      <c r="B282" s="195"/>
      <c r="C282" s="195"/>
      <c r="D282" s="195"/>
      <c r="E282" s="195"/>
      <c r="F282" s="195"/>
      <c r="G282" s="195"/>
      <c r="H282" s="195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</row>
    <row r="283" spans="1:27" ht="12.75">
      <c r="A283" s="195"/>
      <c r="B283" s="195"/>
      <c r="C283" s="195"/>
      <c r="D283" s="195"/>
      <c r="E283" s="195"/>
      <c r="F283" s="195"/>
      <c r="G283" s="195"/>
      <c r="H283" s="195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</row>
    <row r="284" spans="1:27" ht="12.75">
      <c r="A284" s="195"/>
      <c r="B284" s="195"/>
      <c r="C284" s="195"/>
      <c r="D284" s="195"/>
      <c r="E284" s="195"/>
      <c r="F284" s="195"/>
      <c r="G284" s="195"/>
      <c r="H284" s="195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</row>
    <row r="285" spans="1:27" ht="12.75">
      <c r="A285" s="195"/>
      <c r="B285" s="195"/>
      <c r="C285" s="195"/>
      <c r="D285" s="195"/>
      <c r="E285" s="195"/>
      <c r="F285" s="195"/>
      <c r="G285" s="195"/>
      <c r="H285" s="195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</row>
    <row r="286" spans="1:27" ht="12.75">
      <c r="A286" s="195"/>
      <c r="B286" s="195"/>
      <c r="C286" s="195"/>
      <c r="D286" s="195"/>
      <c r="E286" s="195"/>
      <c r="F286" s="195"/>
      <c r="G286" s="195"/>
      <c r="H286" s="195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</row>
    <row r="287" spans="1:27" ht="12.75">
      <c r="A287" s="195"/>
      <c r="B287" s="195"/>
      <c r="C287" s="195"/>
      <c r="D287" s="195"/>
      <c r="E287" s="195"/>
      <c r="F287" s="195"/>
      <c r="G287" s="195"/>
      <c r="H287" s="195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</row>
    <row r="288" spans="1:27" ht="12.75">
      <c r="A288" s="195"/>
      <c r="B288" s="195"/>
      <c r="C288" s="195"/>
      <c r="D288" s="195"/>
      <c r="E288" s="195"/>
      <c r="F288" s="195"/>
      <c r="G288" s="195"/>
      <c r="H288" s="195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</row>
    <row r="289" spans="1:27" ht="12.75">
      <c r="A289" s="195"/>
      <c r="B289" s="195"/>
      <c r="C289" s="195"/>
      <c r="D289" s="195"/>
      <c r="E289" s="195"/>
      <c r="F289" s="195"/>
      <c r="G289" s="195"/>
      <c r="H289" s="195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</row>
    <row r="290" spans="1:27" ht="12.75">
      <c r="A290" s="195"/>
      <c r="B290" s="195"/>
      <c r="C290" s="195"/>
      <c r="D290" s="195"/>
      <c r="E290" s="195"/>
      <c r="F290" s="195"/>
      <c r="G290" s="195"/>
      <c r="H290" s="195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</row>
    <row r="291" spans="1:27" ht="12.75">
      <c r="A291" s="195"/>
      <c r="B291" s="195"/>
      <c r="C291" s="195"/>
      <c r="D291" s="195"/>
      <c r="E291" s="195"/>
      <c r="F291" s="195"/>
      <c r="G291" s="195"/>
      <c r="H291" s="195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</row>
    <row r="292" spans="1:27" ht="12.75">
      <c r="A292" s="195"/>
      <c r="B292" s="195"/>
      <c r="C292" s="195"/>
      <c r="D292" s="195"/>
      <c r="E292" s="195"/>
      <c r="F292" s="195"/>
      <c r="G292" s="195"/>
      <c r="H292" s="195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</row>
    <row r="293" spans="1:27" ht="12.75">
      <c r="A293" s="195"/>
      <c r="B293" s="195"/>
      <c r="C293" s="195"/>
      <c r="D293" s="195"/>
      <c r="E293" s="195"/>
      <c r="F293" s="195"/>
      <c r="G293" s="195"/>
      <c r="H293" s="195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</row>
    <row r="294" spans="1:27" ht="12.75">
      <c r="A294" s="195"/>
      <c r="B294" s="195"/>
      <c r="C294" s="195"/>
      <c r="D294" s="195"/>
      <c r="E294" s="195"/>
      <c r="F294" s="195"/>
      <c r="G294" s="195"/>
      <c r="H294" s="195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</row>
    <row r="295" spans="1:27" ht="12.75">
      <c r="A295" s="195"/>
      <c r="B295" s="195"/>
      <c r="C295" s="195"/>
      <c r="D295" s="195"/>
      <c r="E295" s="195"/>
      <c r="F295" s="195"/>
      <c r="G295" s="195"/>
      <c r="H295" s="195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</row>
    <row r="296" spans="1:27" ht="12.75">
      <c r="A296" s="195"/>
      <c r="B296" s="195"/>
      <c r="C296" s="195"/>
      <c r="D296" s="195"/>
      <c r="E296" s="195"/>
      <c r="F296" s="195"/>
      <c r="G296" s="195"/>
      <c r="H296" s="195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</row>
    <row r="297" spans="1:27" ht="12.75">
      <c r="A297" s="195"/>
      <c r="B297" s="195"/>
      <c r="C297" s="195"/>
      <c r="D297" s="195"/>
      <c r="E297" s="195"/>
      <c r="F297" s="195"/>
      <c r="G297" s="195"/>
      <c r="H297" s="195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</row>
    <row r="298" spans="1:27" ht="12.75">
      <c r="A298" s="195"/>
      <c r="B298" s="195"/>
      <c r="C298" s="195"/>
      <c r="D298" s="195"/>
      <c r="E298" s="195"/>
      <c r="F298" s="195"/>
      <c r="G298" s="195"/>
      <c r="H298" s="195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</row>
    <row r="299" spans="1:27" ht="12.75">
      <c r="A299" s="195"/>
      <c r="B299" s="195"/>
      <c r="C299" s="195"/>
      <c r="D299" s="195"/>
      <c r="E299" s="195"/>
      <c r="F299" s="195"/>
      <c r="G299" s="195"/>
      <c r="H299" s="195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</row>
    <row r="300" spans="1:27" ht="12.75">
      <c r="A300" s="195"/>
      <c r="B300" s="195"/>
      <c r="C300" s="195"/>
      <c r="D300" s="195"/>
      <c r="E300" s="195"/>
      <c r="F300" s="195"/>
      <c r="G300" s="195"/>
      <c r="H300" s="195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</row>
    <row r="301" spans="1:27" ht="12.75">
      <c r="A301" s="195"/>
      <c r="B301" s="195"/>
      <c r="C301" s="195"/>
      <c r="D301" s="195"/>
      <c r="E301" s="195"/>
      <c r="F301" s="195"/>
      <c r="G301" s="195"/>
      <c r="H301" s="195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</row>
    <row r="302" spans="1:27" ht="12.75">
      <c r="A302" s="195"/>
      <c r="B302" s="195"/>
      <c r="C302" s="195"/>
      <c r="D302" s="195"/>
      <c r="E302" s="195"/>
      <c r="F302" s="195"/>
      <c r="G302" s="195"/>
      <c r="H302" s="195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</row>
    <row r="303" spans="1:27" ht="12.75">
      <c r="A303" s="195"/>
      <c r="B303" s="195"/>
      <c r="C303" s="195"/>
      <c r="D303" s="195"/>
      <c r="E303" s="195"/>
      <c r="F303" s="195"/>
      <c r="G303" s="195"/>
      <c r="H303" s="195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</row>
    <row r="304" spans="1:27" ht="12.75">
      <c r="A304" s="195"/>
      <c r="B304" s="195"/>
      <c r="C304" s="195"/>
      <c r="D304" s="195"/>
      <c r="E304" s="195"/>
      <c r="F304" s="195"/>
      <c r="G304" s="195"/>
      <c r="H304" s="195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</row>
    <row r="305" spans="1:27" ht="12.75">
      <c r="A305" s="195"/>
      <c r="B305" s="195"/>
      <c r="C305" s="195"/>
      <c r="D305" s="195"/>
      <c r="E305" s="195"/>
      <c r="F305" s="195"/>
      <c r="G305" s="195"/>
      <c r="H305" s="195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</row>
    <row r="306" spans="1:27" ht="12.75">
      <c r="A306" s="195"/>
      <c r="B306" s="195"/>
      <c r="C306" s="195"/>
      <c r="D306" s="195"/>
      <c r="E306" s="195"/>
      <c r="F306" s="195"/>
      <c r="G306" s="195"/>
      <c r="H306" s="195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</row>
    <row r="307" spans="1:27" ht="12.75">
      <c r="A307" s="195"/>
      <c r="B307" s="195"/>
      <c r="C307" s="195"/>
      <c r="D307" s="195"/>
      <c r="E307" s="195"/>
      <c r="F307" s="195"/>
      <c r="G307" s="195"/>
      <c r="H307" s="195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</row>
    <row r="308" spans="1:27" ht="12.75">
      <c r="A308" s="195"/>
      <c r="B308" s="195"/>
      <c r="C308" s="195"/>
      <c r="D308" s="195"/>
      <c r="E308" s="195"/>
      <c r="F308" s="195"/>
      <c r="G308" s="195"/>
      <c r="H308" s="195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</row>
    <row r="309" spans="1:27" ht="12.75">
      <c r="A309" s="195"/>
      <c r="B309" s="195"/>
      <c r="C309" s="195"/>
      <c r="D309" s="195"/>
      <c r="E309" s="195"/>
      <c r="F309" s="195"/>
      <c r="G309" s="195"/>
      <c r="H309" s="195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</row>
    <row r="310" spans="1:27" ht="12.75">
      <c r="A310" s="195"/>
      <c r="B310" s="195"/>
      <c r="C310" s="195"/>
      <c r="D310" s="195"/>
      <c r="E310" s="195"/>
      <c r="F310" s="195"/>
      <c r="G310" s="195"/>
      <c r="H310" s="195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</row>
    <row r="311" spans="1:27" ht="12.75">
      <c r="A311" s="195"/>
      <c r="B311" s="195"/>
      <c r="C311" s="195"/>
      <c r="D311" s="195"/>
      <c r="E311" s="195"/>
      <c r="F311" s="195"/>
      <c r="G311" s="195"/>
      <c r="H311" s="195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</row>
    <row r="312" spans="1:27" ht="12.75">
      <c r="A312" s="195"/>
      <c r="B312" s="195"/>
      <c r="C312" s="195"/>
      <c r="D312" s="195"/>
      <c r="E312" s="195"/>
      <c r="F312" s="195"/>
      <c r="G312" s="195"/>
      <c r="H312" s="195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</row>
    <row r="313" spans="1:27" ht="12.75">
      <c r="A313" s="195"/>
      <c r="B313" s="195"/>
      <c r="C313" s="195"/>
      <c r="D313" s="195"/>
      <c r="E313" s="195"/>
      <c r="F313" s="195"/>
      <c r="G313" s="195"/>
      <c r="H313" s="195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</row>
    <row r="314" spans="1:27" ht="12.75">
      <c r="A314" s="195"/>
      <c r="B314" s="195"/>
      <c r="C314" s="195"/>
      <c r="D314" s="195"/>
      <c r="E314" s="195"/>
      <c r="F314" s="195"/>
      <c r="G314" s="195"/>
      <c r="H314" s="195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</row>
    <row r="315" spans="1:27" ht="12.75">
      <c r="A315" s="195"/>
      <c r="B315" s="195"/>
      <c r="C315" s="195"/>
      <c r="D315" s="195"/>
      <c r="E315" s="195"/>
      <c r="F315" s="195"/>
      <c r="G315" s="195"/>
      <c r="H315" s="195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</row>
    <row r="316" spans="1:27" ht="12.75">
      <c r="A316" s="195"/>
      <c r="B316" s="195"/>
      <c r="C316" s="195"/>
      <c r="D316" s="195"/>
      <c r="E316" s="195"/>
      <c r="F316" s="195"/>
      <c r="G316" s="195"/>
      <c r="H316" s="195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</row>
    <row r="317" spans="1:27" ht="12.75">
      <c r="A317" s="195"/>
      <c r="B317" s="195"/>
      <c r="C317" s="195"/>
      <c r="D317" s="195"/>
      <c r="E317" s="195"/>
      <c r="F317" s="195"/>
      <c r="G317" s="195"/>
      <c r="H317" s="195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</row>
    <row r="318" spans="1:27" ht="12.75">
      <c r="A318" s="195"/>
      <c r="B318" s="195"/>
      <c r="C318" s="195"/>
      <c r="D318" s="195"/>
      <c r="E318" s="195"/>
      <c r="F318" s="195"/>
      <c r="G318" s="195"/>
      <c r="H318" s="195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</row>
    <row r="319" spans="1:27" ht="12.75">
      <c r="A319" s="195"/>
      <c r="B319" s="195"/>
      <c r="C319" s="195"/>
      <c r="D319" s="195"/>
      <c r="E319" s="195"/>
      <c r="F319" s="195"/>
      <c r="G319" s="195"/>
      <c r="H319" s="195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59"/>
    </row>
    <row r="320" spans="1:27" ht="12.75">
      <c r="A320" s="195"/>
      <c r="B320" s="195"/>
      <c r="C320" s="195"/>
      <c r="D320" s="195"/>
      <c r="E320" s="195"/>
      <c r="F320" s="195"/>
      <c r="G320" s="195"/>
      <c r="H320" s="195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</row>
    <row r="321" spans="1:27" ht="12.75">
      <c r="A321" s="195"/>
      <c r="B321" s="195"/>
      <c r="C321" s="195"/>
      <c r="D321" s="195"/>
      <c r="E321" s="195"/>
      <c r="F321" s="195"/>
      <c r="G321" s="195"/>
      <c r="H321" s="195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</row>
    <row r="322" spans="1:27" ht="12.75">
      <c r="A322" s="195"/>
      <c r="B322" s="195"/>
      <c r="C322" s="195"/>
      <c r="D322" s="195"/>
      <c r="E322" s="195"/>
      <c r="F322" s="195"/>
      <c r="G322" s="195"/>
      <c r="H322" s="195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</row>
    <row r="323" spans="1:27" ht="12.75">
      <c r="A323" s="195"/>
      <c r="B323" s="195"/>
      <c r="C323" s="195"/>
      <c r="D323" s="195"/>
      <c r="E323" s="195"/>
      <c r="F323" s="195"/>
      <c r="G323" s="195"/>
      <c r="H323" s="195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</row>
    <row r="324" spans="1:27" ht="12.75">
      <c r="A324" s="195"/>
      <c r="B324" s="195"/>
      <c r="C324" s="195"/>
      <c r="D324" s="195"/>
      <c r="E324" s="195"/>
      <c r="F324" s="195"/>
      <c r="G324" s="195"/>
      <c r="H324" s="195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</row>
    <row r="325" spans="1:27" ht="12.75">
      <c r="A325" s="195"/>
      <c r="B325" s="195"/>
      <c r="C325" s="195"/>
      <c r="D325" s="195"/>
      <c r="E325" s="195"/>
      <c r="F325" s="195"/>
      <c r="G325" s="195"/>
      <c r="H325" s="195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</row>
    <row r="326" spans="1:27" ht="12.75">
      <c r="A326" s="195"/>
      <c r="B326" s="195"/>
      <c r="C326" s="195"/>
      <c r="D326" s="195"/>
      <c r="E326" s="195"/>
      <c r="F326" s="195"/>
      <c r="G326" s="195"/>
      <c r="H326" s="195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</row>
    <row r="327" spans="1:27" ht="12.75">
      <c r="A327" s="195"/>
      <c r="B327" s="195"/>
      <c r="C327" s="195"/>
      <c r="D327" s="195"/>
      <c r="E327" s="195"/>
      <c r="F327" s="195"/>
      <c r="G327" s="195"/>
      <c r="H327" s="195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159"/>
    </row>
    <row r="328" spans="1:27" ht="12.75">
      <c r="A328" s="195"/>
      <c r="B328" s="195"/>
      <c r="C328" s="195"/>
      <c r="D328" s="195"/>
      <c r="E328" s="195"/>
      <c r="F328" s="195"/>
      <c r="G328" s="195"/>
      <c r="H328" s="195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</row>
    <row r="329" spans="1:27" ht="12.75">
      <c r="A329" s="195"/>
      <c r="B329" s="195"/>
      <c r="C329" s="195"/>
      <c r="D329" s="195"/>
      <c r="E329" s="195"/>
      <c r="F329" s="195"/>
      <c r="G329" s="195"/>
      <c r="H329" s="195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</row>
    <row r="330" spans="1:27" ht="12.75">
      <c r="A330" s="195"/>
      <c r="B330" s="195"/>
      <c r="C330" s="195"/>
      <c r="D330" s="195"/>
      <c r="E330" s="195"/>
      <c r="F330" s="195"/>
      <c r="G330" s="195"/>
      <c r="H330" s="195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</row>
    <row r="331" spans="1:27" ht="12.75">
      <c r="A331" s="195"/>
      <c r="B331" s="195"/>
      <c r="C331" s="195"/>
      <c r="D331" s="195"/>
      <c r="E331" s="195"/>
      <c r="F331" s="195"/>
      <c r="G331" s="195"/>
      <c r="H331" s="195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</row>
    <row r="332" spans="1:27" ht="12.75">
      <c r="A332" s="195"/>
      <c r="B332" s="195"/>
      <c r="C332" s="195"/>
      <c r="D332" s="195"/>
      <c r="E332" s="195"/>
      <c r="F332" s="195"/>
      <c r="G332" s="195"/>
      <c r="H332" s="195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</row>
    <row r="333" spans="1:27" ht="12.75">
      <c r="A333" s="195"/>
      <c r="B333" s="195"/>
      <c r="C333" s="195"/>
      <c r="D333" s="195"/>
      <c r="E333" s="195"/>
      <c r="F333" s="195"/>
      <c r="G333" s="195"/>
      <c r="H333" s="195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</row>
    <row r="334" spans="1:27" ht="12.75">
      <c r="A334" s="195"/>
      <c r="B334" s="195"/>
      <c r="C334" s="195"/>
      <c r="D334" s="195"/>
      <c r="E334" s="195"/>
      <c r="F334" s="195"/>
      <c r="G334" s="195"/>
      <c r="H334" s="195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</row>
    <row r="335" spans="1:27" ht="12.75">
      <c r="A335" s="195"/>
      <c r="B335" s="195"/>
      <c r="C335" s="195"/>
      <c r="D335" s="195"/>
      <c r="E335" s="195"/>
      <c r="F335" s="195"/>
      <c r="G335" s="195"/>
      <c r="H335" s="195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</row>
    <row r="336" spans="1:27" ht="12.75">
      <c r="A336" s="195"/>
      <c r="B336" s="195"/>
      <c r="C336" s="195"/>
      <c r="D336" s="195"/>
      <c r="E336" s="195"/>
      <c r="F336" s="195"/>
      <c r="G336" s="195"/>
      <c r="H336" s="195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</row>
    <row r="337" spans="1:27" ht="12.75">
      <c r="A337" s="195"/>
      <c r="B337" s="195"/>
      <c r="C337" s="195"/>
      <c r="D337" s="195"/>
      <c r="E337" s="195"/>
      <c r="F337" s="195"/>
      <c r="G337" s="195"/>
      <c r="H337" s="195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  <c r="AA337" s="159"/>
    </row>
    <row r="338" spans="1:27" ht="12.75">
      <c r="A338" s="195"/>
      <c r="B338" s="195"/>
      <c r="C338" s="195"/>
      <c r="D338" s="195"/>
      <c r="E338" s="195"/>
      <c r="F338" s="195"/>
      <c r="G338" s="195"/>
      <c r="H338" s="195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</row>
    <row r="339" spans="1:27" ht="12.75">
      <c r="A339" s="195"/>
      <c r="B339" s="195"/>
      <c r="C339" s="195"/>
      <c r="D339" s="195"/>
      <c r="E339" s="195"/>
      <c r="F339" s="195"/>
      <c r="G339" s="195"/>
      <c r="H339" s="195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  <c r="AA339" s="159"/>
    </row>
    <row r="340" spans="1:27" ht="12.75">
      <c r="A340" s="195"/>
      <c r="B340" s="195"/>
      <c r="C340" s="195"/>
      <c r="D340" s="195"/>
      <c r="E340" s="195"/>
      <c r="F340" s="195"/>
      <c r="G340" s="195"/>
      <c r="H340" s="195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</row>
    <row r="341" spans="1:27" ht="12.75">
      <c r="A341" s="195"/>
      <c r="B341" s="195"/>
      <c r="C341" s="195"/>
      <c r="D341" s="195"/>
      <c r="E341" s="195"/>
      <c r="F341" s="195"/>
      <c r="G341" s="195"/>
      <c r="H341" s="195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  <c r="AA341" s="159"/>
    </row>
    <row r="342" spans="1:27" ht="12.75">
      <c r="A342" s="195"/>
      <c r="B342" s="195"/>
      <c r="C342" s="195"/>
      <c r="D342" s="195"/>
      <c r="E342" s="195"/>
      <c r="F342" s="195"/>
      <c r="G342" s="195"/>
      <c r="H342" s="195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</row>
    <row r="343" spans="1:27" ht="12.75">
      <c r="A343" s="195"/>
      <c r="B343" s="195"/>
      <c r="C343" s="195"/>
      <c r="D343" s="195"/>
      <c r="E343" s="195"/>
      <c r="F343" s="195"/>
      <c r="G343" s="195"/>
      <c r="H343" s="195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</row>
    <row r="344" spans="1:27" ht="12.75">
      <c r="A344" s="195"/>
      <c r="B344" s="195"/>
      <c r="C344" s="195"/>
      <c r="D344" s="195"/>
      <c r="E344" s="195"/>
      <c r="F344" s="195"/>
      <c r="G344" s="195"/>
      <c r="H344" s="195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</row>
    <row r="345" spans="1:27" ht="12.75">
      <c r="A345" s="195"/>
      <c r="B345" s="195"/>
      <c r="C345" s="195"/>
      <c r="D345" s="195"/>
      <c r="E345" s="195"/>
      <c r="F345" s="195"/>
      <c r="G345" s="195"/>
      <c r="H345" s="195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</row>
    <row r="346" spans="1:27" ht="12.75">
      <c r="A346" s="195"/>
      <c r="B346" s="195"/>
      <c r="C346" s="195"/>
      <c r="D346" s="195"/>
      <c r="E346" s="195"/>
      <c r="F346" s="195"/>
      <c r="G346" s="195"/>
      <c r="H346" s="195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</row>
    <row r="347" spans="1:27" ht="12.75">
      <c r="A347" s="195"/>
      <c r="B347" s="195"/>
      <c r="C347" s="195"/>
      <c r="D347" s="195"/>
      <c r="E347" s="195"/>
      <c r="F347" s="195"/>
      <c r="G347" s="195"/>
      <c r="H347" s="195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</row>
    <row r="348" spans="1:27" ht="12.75">
      <c r="A348" s="195"/>
      <c r="B348" s="195"/>
      <c r="C348" s="195"/>
      <c r="D348" s="195"/>
      <c r="E348" s="195"/>
      <c r="F348" s="195"/>
      <c r="G348" s="195"/>
      <c r="H348" s="195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</row>
    <row r="349" spans="1:27" ht="12.75">
      <c r="A349" s="195"/>
      <c r="B349" s="195"/>
      <c r="C349" s="195"/>
      <c r="D349" s="195"/>
      <c r="E349" s="195"/>
      <c r="F349" s="195"/>
      <c r="G349" s="195"/>
      <c r="H349" s="195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  <c r="AA349" s="159"/>
    </row>
    <row r="350" spans="1:27" ht="12.75">
      <c r="A350" s="195"/>
      <c r="B350" s="195"/>
      <c r="C350" s="195"/>
      <c r="D350" s="195"/>
      <c r="E350" s="195"/>
      <c r="F350" s="195"/>
      <c r="G350" s="195"/>
      <c r="H350" s="195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</row>
    <row r="351" spans="1:27" ht="12.75">
      <c r="A351" s="195"/>
      <c r="B351" s="195"/>
      <c r="C351" s="195"/>
      <c r="D351" s="195"/>
      <c r="E351" s="195"/>
      <c r="F351" s="195"/>
      <c r="G351" s="195"/>
      <c r="H351" s="195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</row>
    <row r="352" spans="1:27" ht="12.75">
      <c r="A352" s="195"/>
      <c r="B352" s="195"/>
      <c r="C352" s="195"/>
      <c r="D352" s="195"/>
      <c r="E352" s="195"/>
      <c r="F352" s="195"/>
      <c r="G352" s="195"/>
      <c r="H352" s="195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</row>
    <row r="353" spans="1:27" ht="12.75">
      <c r="A353" s="195"/>
      <c r="B353" s="195"/>
      <c r="C353" s="195"/>
      <c r="D353" s="195"/>
      <c r="E353" s="195"/>
      <c r="F353" s="195"/>
      <c r="G353" s="195"/>
      <c r="H353" s="195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</row>
    <row r="354" spans="1:27" ht="12.75">
      <c r="A354" s="195"/>
      <c r="B354" s="195"/>
      <c r="C354" s="195"/>
      <c r="D354" s="195"/>
      <c r="E354" s="195"/>
      <c r="F354" s="195"/>
      <c r="G354" s="195"/>
      <c r="H354" s="195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A354" s="159"/>
    </row>
    <row r="355" spans="1:27" ht="12.75">
      <c r="A355" s="195"/>
      <c r="B355" s="195"/>
      <c r="C355" s="195"/>
      <c r="D355" s="195"/>
      <c r="E355" s="195"/>
      <c r="F355" s="195"/>
      <c r="G355" s="195"/>
      <c r="H355" s="195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</row>
    <row r="356" spans="1:27" ht="12.75">
      <c r="A356" s="195"/>
      <c r="B356" s="195"/>
      <c r="C356" s="195"/>
      <c r="D356" s="195"/>
      <c r="E356" s="195"/>
      <c r="F356" s="195"/>
      <c r="G356" s="195"/>
      <c r="H356" s="195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</row>
    <row r="357" spans="1:27" ht="12.75">
      <c r="A357" s="195"/>
      <c r="B357" s="195"/>
      <c r="C357" s="195"/>
      <c r="D357" s="195"/>
      <c r="E357" s="195"/>
      <c r="F357" s="195"/>
      <c r="G357" s="195"/>
      <c r="H357" s="195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</row>
    <row r="358" spans="1:27" ht="12.75">
      <c r="A358" s="195"/>
      <c r="B358" s="195"/>
      <c r="C358" s="195"/>
      <c r="D358" s="195"/>
      <c r="E358" s="195"/>
      <c r="F358" s="195"/>
      <c r="G358" s="195"/>
      <c r="H358" s="195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</row>
    <row r="359" spans="1:27" ht="12.75">
      <c r="A359" s="195"/>
      <c r="B359" s="195"/>
      <c r="C359" s="195"/>
      <c r="D359" s="195"/>
      <c r="E359" s="195"/>
      <c r="F359" s="195"/>
      <c r="G359" s="195"/>
      <c r="H359" s="195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</row>
    <row r="360" spans="1:27" ht="12.75">
      <c r="A360" s="195"/>
      <c r="B360" s="195"/>
      <c r="C360" s="195"/>
      <c r="D360" s="195"/>
      <c r="E360" s="195"/>
      <c r="F360" s="195"/>
      <c r="G360" s="195"/>
      <c r="H360" s="195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</row>
    <row r="361" spans="1:27" ht="12.75">
      <c r="A361" s="195"/>
      <c r="B361" s="195"/>
      <c r="C361" s="195"/>
      <c r="D361" s="195"/>
      <c r="E361" s="195"/>
      <c r="F361" s="195"/>
      <c r="G361" s="195"/>
      <c r="H361" s="195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159"/>
    </row>
    <row r="362" spans="1:27" ht="12.75">
      <c r="A362" s="195"/>
      <c r="B362" s="195"/>
      <c r="C362" s="195"/>
      <c r="D362" s="195"/>
      <c r="E362" s="195"/>
      <c r="F362" s="195"/>
      <c r="G362" s="195"/>
      <c r="H362" s="195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  <c r="AA362" s="159"/>
    </row>
    <row r="363" spans="1:27" ht="12.75">
      <c r="A363" s="195"/>
      <c r="B363" s="195"/>
      <c r="C363" s="195"/>
      <c r="D363" s="195"/>
      <c r="E363" s="195"/>
      <c r="F363" s="195"/>
      <c r="G363" s="195"/>
      <c r="H363" s="195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  <c r="AA363" s="159"/>
    </row>
    <row r="364" spans="1:27" ht="12.75">
      <c r="A364" s="195"/>
      <c r="B364" s="195"/>
      <c r="C364" s="195"/>
      <c r="D364" s="195"/>
      <c r="E364" s="195"/>
      <c r="F364" s="195"/>
      <c r="G364" s="195"/>
      <c r="H364" s="195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  <c r="AA364" s="159"/>
    </row>
    <row r="365" spans="1:27" ht="12.75">
      <c r="A365" s="195"/>
      <c r="B365" s="195"/>
      <c r="C365" s="195"/>
      <c r="D365" s="195"/>
      <c r="E365" s="195"/>
      <c r="F365" s="195"/>
      <c r="G365" s="195"/>
      <c r="H365" s="195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  <c r="AA365" s="159"/>
    </row>
    <row r="366" spans="1:27" ht="12.75">
      <c r="A366" s="195"/>
      <c r="B366" s="195"/>
      <c r="C366" s="195"/>
      <c r="D366" s="195"/>
      <c r="E366" s="195"/>
      <c r="F366" s="195"/>
      <c r="G366" s="195"/>
      <c r="H366" s="195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</row>
    <row r="367" spans="1:27" ht="12.75">
      <c r="A367" s="195"/>
      <c r="B367" s="195"/>
      <c r="C367" s="195"/>
      <c r="D367" s="195"/>
      <c r="E367" s="195"/>
      <c r="F367" s="195"/>
      <c r="G367" s="195"/>
      <c r="H367" s="195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</row>
    <row r="368" spans="1:27" ht="12.75">
      <c r="A368" s="195"/>
      <c r="B368" s="195"/>
      <c r="C368" s="195"/>
      <c r="D368" s="195"/>
      <c r="E368" s="195"/>
      <c r="F368" s="195"/>
      <c r="G368" s="195"/>
      <c r="H368" s="195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</row>
    <row r="369" spans="1:27" ht="12.75">
      <c r="A369" s="195"/>
      <c r="B369" s="195"/>
      <c r="C369" s="195"/>
      <c r="D369" s="195"/>
      <c r="E369" s="195"/>
      <c r="F369" s="195"/>
      <c r="G369" s="195"/>
      <c r="H369" s="195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</row>
    <row r="370" spans="1:27" ht="12.75">
      <c r="A370" s="195"/>
      <c r="B370" s="195"/>
      <c r="C370" s="195"/>
      <c r="D370" s="195"/>
      <c r="E370" s="195"/>
      <c r="F370" s="195"/>
      <c r="G370" s="195"/>
      <c r="H370" s="195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</row>
    <row r="371" spans="1:27" ht="12.75">
      <c r="A371" s="195"/>
      <c r="B371" s="195"/>
      <c r="C371" s="195"/>
      <c r="D371" s="195"/>
      <c r="E371" s="195"/>
      <c r="F371" s="195"/>
      <c r="G371" s="195"/>
      <c r="H371" s="195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  <c r="AA371" s="159"/>
    </row>
    <row r="372" spans="1:27" ht="12.75">
      <c r="A372" s="195"/>
      <c r="B372" s="195"/>
      <c r="C372" s="195"/>
      <c r="D372" s="195"/>
      <c r="E372" s="195"/>
      <c r="F372" s="195"/>
      <c r="G372" s="195"/>
      <c r="H372" s="195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</row>
    <row r="373" spans="1:27" ht="12.75">
      <c r="A373" s="195"/>
      <c r="B373" s="195"/>
      <c r="C373" s="195"/>
      <c r="D373" s="195"/>
      <c r="E373" s="195"/>
      <c r="F373" s="195"/>
      <c r="G373" s="195"/>
      <c r="H373" s="195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</row>
    <row r="374" spans="1:27" ht="12.75">
      <c r="A374" s="195"/>
      <c r="B374" s="195"/>
      <c r="C374" s="195"/>
      <c r="D374" s="195"/>
      <c r="E374" s="195"/>
      <c r="F374" s="195"/>
      <c r="G374" s="195"/>
      <c r="H374" s="195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</row>
    <row r="375" spans="1:27" ht="12.75">
      <c r="A375" s="195"/>
      <c r="B375" s="195"/>
      <c r="C375" s="195"/>
      <c r="D375" s="195"/>
      <c r="E375" s="195"/>
      <c r="F375" s="195"/>
      <c r="G375" s="195"/>
      <c r="H375" s="195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</row>
    <row r="376" spans="1:27" ht="12.75">
      <c r="A376" s="195"/>
      <c r="B376" s="195"/>
      <c r="C376" s="195"/>
      <c r="D376" s="195"/>
      <c r="E376" s="195"/>
      <c r="F376" s="195"/>
      <c r="G376" s="195"/>
      <c r="H376" s="195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</row>
    <row r="377" spans="1:27" ht="12.75">
      <c r="A377" s="195"/>
      <c r="B377" s="195"/>
      <c r="C377" s="195"/>
      <c r="D377" s="195"/>
      <c r="E377" s="195"/>
      <c r="F377" s="195"/>
      <c r="G377" s="195"/>
      <c r="H377" s="195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</row>
    <row r="378" spans="1:27" ht="12.75">
      <c r="A378" s="195"/>
      <c r="B378" s="195"/>
      <c r="C378" s="195"/>
      <c r="D378" s="195"/>
      <c r="E378" s="195"/>
      <c r="F378" s="195"/>
      <c r="G378" s="195"/>
      <c r="H378" s="195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</row>
    <row r="379" spans="1:27" ht="12.75">
      <c r="A379" s="195"/>
      <c r="B379" s="195"/>
      <c r="C379" s="195"/>
      <c r="D379" s="195"/>
      <c r="E379" s="195"/>
      <c r="F379" s="195"/>
      <c r="G379" s="195"/>
      <c r="H379" s="195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  <c r="AA379" s="159"/>
    </row>
    <row r="380" spans="1:27" ht="12.75">
      <c r="A380" s="195"/>
      <c r="B380" s="195"/>
      <c r="C380" s="195"/>
      <c r="D380" s="195"/>
      <c r="E380" s="195"/>
      <c r="F380" s="195"/>
      <c r="G380" s="195"/>
      <c r="H380" s="195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  <c r="AA380" s="159"/>
    </row>
    <row r="381" spans="1:27" ht="12.75">
      <c r="A381" s="195"/>
      <c r="B381" s="195"/>
      <c r="C381" s="195"/>
      <c r="D381" s="195"/>
      <c r="E381" s="195"/>
      <c r="F381" s="195"/>
      <c r="G381" s="195"/>
      <c r="H381" s="195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  <c r="AA381" s="159"/>
    </row>
    <row r="382" spans="1:27" ht="12.75">
      <c r="A382" s="195"/>
      <c r="B382" s="195"/>
      <c r="C382" s="195"/>
      <c r="D382" s="195"/>
      <c r="E382" s="195"/>
      <c r="F382" s="195"/>
      <c r="G382" s="195"/>
      <c r="H382" s="195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  <c r="AA382" s="159"/>
    </row>
    <row r="383" spans="1:27" ht="12.75">
      <c r="A383" s="195"/>
      <c r="B383" s="195"/>
      <c r="C383" s="195"/>
      <c r="D383" s="195"/>
      <c r="E383" s="195"/>
      <c r="F383" s="195"/>
      <c r="G383" s="195"/>
      <c r="H383" s="195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  <c r="AA383" s="159"/>
    </row>
    <row r="384" spans="1:27" ht="12.75">
      <c r="A384" s="195"/>
      <c r="B384" s="195"/>
      <c r="C384" s="195"/>
      <c r="D384" s="195"/>
      <c r="E384" s="195"/>
      <c r="F384" s="195"/>
      <c r="G384" s="195"/>
      <c r="H384" s="195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</row>
    <row r="385" spans="1:27" ht="12.75">
      <c r="A385" s="195"/>
      <c r="B385" s="195"/>
      <c r="C385" s="195"/>
      <c r="D385" s="195"/>
      <c r="E385" s="195"/>
      <c r="F385" s="195"/>
      <c r="G385" s="195"/>
      <c r="H385" s="195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  <c r="AA385" s="159"/>
    </row>
    <row r="386" spans="1:27" ht="12.75">
      <c r="A386" s="195"/>
      <c r="B386" s="195"/>
      <c r="C386" s="195"/>
      <c r="D386" s="195"/>
      <c r="E386" s="195"/>
      <c r="F386" s="195"/>
      <c r="G386" s="195"/>
      <c r="H386" s="195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</row>
    <row r="387" spans="1:27" ht="12.75">
      <c r="A387" s="195"/>
      <c r="B387" s="195"/>
      <c r="C387" s="195"/>
      <c r="D387" s="195"/>
      <c r="E387" s="195"/>
      <c r="F387" s="195"/>
      <c r="G387" s="195"/>
      <c r="H387" s="195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</row>
    <row r="388" spans="1:27" ht="12.75">
      <c r="A388" s="195"/>
      <c r="B388" s="195"/>
      <c r="C388" s="195"/>
      <c r="D388" s="195"/>
      <c r="E388" s="195"/>
      <c r="F388" s="195"/>
      <c r="G388" s="195"/>
      <c r="H388" s="195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  <c r="AA388" s="159"/>
    </row>
    <row r="389" spans="1:27" ht="12.75">
      <c r="A389" s="195"/>
      <c r="B389" s="195"/>
      <c r="C389" s="195"/>
      <c r="D389" s="195"/>
      <c r="E389" s="195"/>
      <c r="F389" s="195"/>
      <c r="G389" s="195"/>
      <c r="H389" s="195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</row>
    <row r="390" spans="1:27" ht="12.75">
      <c r="A390" s="195"/>
      <c r="B390" s="195"/>
      <c r="C390" s="195"/>
      <c r="D390" s="195"/>
      <c r="E390" s="195"/>
      <c r="F390" s="195"/>
      <c r="G390" s="195"/>
      <c r="H390" s="195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</row>
    <row r="391" spans="1:27" ht="12.75">
      <c r="A391" s="195"/>
      <c r="B391" s="195"/>
      <c r="C391" s="195"/>
      <c r="D391" s="195"/>
      <c r="E391" s="195"/>
      <c r="F391" s="195"/>
      <c r="G391" s="195"/>
      <c r="H391" s="195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</row>
    <row r="392" spans="1:27" ht="12.75">
      <c r="A392" s="195"/>
      <c r="B392" s="195"/>
      <c r="C392" s="195"/>
      <c r="D392" s="195"/>
      <c r="E392" s="195"/>
      <c r="F392" s="195"/>
      <c r="G392" s="195"/>
      <c r="H392" s="195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</row>
    <row r="393" spans="1:27" ht="12.75">
      <c r="A393" s="195"/>
      <c r="B393" s="195"/>
      <c r="C393" s="195"/>
      <c r="D393" s="195"/>
      <c r="E393" s="195"/>
      <c r="F393" s="195"/>
      <c r="G393" s="195"/>
      <c r="H393" s="195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</row>
    <row r="394" spans="1:27" ht="12.75">
      <c r="A394" s="195"/>
      <c r="B394" s="195"/>
      <c r="C394" s="195"/>
      <c r="D394" s="195"/>
      <c r="E394" s="195"/>
      <c r="F394" s="195"/>
      <c r="G394" s="195"/>
      <c r="H394" s="195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</row>
    <row r="395" spans="1:27" ht="12.75">
      <c r="A395" s="195"/>
      <c r="B395" s="195"/>
      <c r="C395" s="195"/>
      <c r="D395" s="195"/>
      <c r="E395" s="195"/>
      <c r="F395" s="195"/>
      <c r="G395" s="195"/>
      <c r="H395" s="195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</row>
    <row r="396" spans="1:27" ht="12.75">
      <c r="A396" s="195"/>
      <c r="B396" s="195"/>
      <c r="C396" s="195"/>
      <c r="D396" s="195"/>
      <c r="E396" s="195"/>
      <c r="F396" s="195"/>
      <c r="G396" s="195"/>
      <c r="H396" s="195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</row>
    <row r="397" spans="1:27" ht="12.75">
      <c r="A397" s="195"/>
      <c r="B397" s="195"/>
      <c r="C397" s="195"/>
      <c r="D397" s="195"/>
      <c r="E397" s="195"/>
      <c r="F397" s="195"/>
      <c r="G397" s="195"/>
      <c r="H397" s="195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</row>
    <row r="398" spans="1:27" ht="12.75">
      <c r="A398" s="195"/>
      <c r="B398" s="195"/>
      <c r="C398" s="195"/>
      <c r="D398" s="195"/>
      <c r="E398" s="195"/>
      <c r="F398" s="195"/>
      <c r="G398" s="195"/>
      <c r="H398" s="195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</row>
    <row r="399" spans="1:27" ht="12.75">
      <c r="A399" s="195"/>
      <c r="B399" s="195"/>
      <c r="C399" s="195"/>
      <c r="D399" s="195"/>
      <c r="E399" s="195"/>
      <c r="F399" s="195"/>
      <c r="G399" s="195"/>
      <c r="H399" s="195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</row>
    <row r="400" spans="1:27" ht="12.75">
      <c r="A400" s="195"/>
      <c r="B400" s="195"/>
      <c r="C400" s="195"/>
      <c r="D400" s="195"/>
      <c r="E400" s="195"/>
      <c r="F400" s="195"/>
      <c r="G400" s="195"/>
      <c r="H400" s="195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</row>
    <row r="401" spans="1:27" ht="12.75">
      <c r="A401" s="195"/>
      <c r="B401" s="195"/>
      <c r="C401" s="195"/>
      <c r="D401" s="195"/>
      <c r="E401" s="195"/>
      <c r="F401" s="195"/>
      <c r="G401" s="195"/>
      <c r="H401" s="195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</row>
    <row r="402" spans="1:27" ht="12.75">
      <c r="A402" s="195"/>
      <c r="B402" s="195"/>
      <c r="C402" s="195"/>
      <c r="D402" s="195"/>
      <c r="E402" s="195"/>
      <c r="F402" s="195"/>
      <c r="G402" s="195"/>
      <c r="H402" s="195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A402" s="159"/>
    </row>
    <row r="403" spans="1:27" ht="12.75">
      <c r="A403" s="195"/>
      <c r="B403" s="195"/>
      <c r="C403" s="195"/>
      <c r="D403" s="195"/>
      <c r="E403" s="195"/>
      <c r="F403" s="195"/>
      <c r="G403" s="195"/>
      <c r="H403" s="195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</row>
    <row r="404" spans="1:27" ht="12.75">
      <c r="A404" s="195"/>
      <c r="B404" s="195"/>
      <c r="C404" s="195"/>
      <c r="D404" s="195"/>
      <c r="E404" s="195"/>
      <c r="F404" s="195"/>
      <c r="G404" s="195"/>
      <c r="H404" s="195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</row>
    <row r="405" spans="1:27" ht="12.75">
      <c r="A405" s="195"/>
      <c r="B405" s="195"/>
      <c r="C405" s="195"/>
      <c r="D405" s="195"/>
      <c r="E405" s="195"/>
      <c r="F405" s="195"/>
      <c r="G405" s="195"/>
      <c r="H405" s="195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  <c r="AA405" s="159"/>
    </row>
    <row r="406" spans="1:27" ht="12.75">
      <c r="A406" s="195"/>
      <c r="B406" s="195"/>
      <c r="C406" s="195"/>
      <c r="D406" s="195"/>
      <c r="E406" s="195"/>
      <c r="F406" s="195"/>
      <c r="G406" s="195"/>
      <c r="H406" s="195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  <c r="AA406" s="159"/>
    </row>
    <row r="407" spans="1:27" ht="12.75">
      <c r="A407" s="195"/>
      <c r="B407" s="195"/>
      <c r="C407" s="195"/>
      <c r="D407" s="195"/>
      <c r="E407" s="195"/>
      <c r="F407" s="195"/>
      <c r="G407" s="195"/>
      <c r="H407" s="195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  <c r="AA407" s="159"/>
    </row>
    <row r="408" spans="1:27" ht="12.75">
      <c r="A408" s="195"/>
      <c r="B408" s="195"/>
      <c r="C408" s="195"/>
      <c r="D408" s="195"/>
      <c r="E408" s="195"/>
      <c r="F408" s="195"/>
      <c r="G408" s="195"/>
      <c r="H408" s="195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  <c r="AA408" s="159"/>
    </row>
    <row r="409" spans="1:27" ht="12.75">
      <c r="A409" s="195"/>
      <c r="B409" s="195"/>
      <c r="C409" s="195"/>
      <c r="D409" s="195"/>
      <c r="E409" s="195"/>
      <c r="F409" s="195"/>
      <c r="G409" s="195"/>
      <c r="H409" s="195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</row>
    <row r="410" spans="1:27" ht="12.75">
      <c r="A410" s="195"/>
      <c r="B410" s="195"/>
      <c r="C410" s="195"/>
      <c r="D410" s="195"/>
      <c r="E410" s="195"/>
      <c r="F410" s="195"/>
      <c r="G410" s="195"/>
      <c r="H410" s="195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  <c r="AA410" s="159"/>
    </row>
    <row r="411" spans="1:27" ht="12.75">
      <c r="A411" s="195"/>
      <c r="B411" s="195"/>
      <c r="C411" s="195"/>
      <c r="D411" s="195"/>
      <c r="E411" s="195"/>
      <c r="F411" s="195"/>
      <c r="G411" s="195"/>
      <c r="H411" s="195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  <c r="AA411" s="159"/>
    </row>
    <row r="412" spans="1:27" ht="12.75">
      <c r="A412" s="195"/>
      <c r="B412" s="195"/>
      <c r="C412" s="195"/>
      <c r="D412" s="195"/>
      <c r="E412" s="195"/>
      <c r="F412" s="195"/>
      <c r="G412" s="195"/>
      <c r="H412" s="195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  <c r="AA412" s="159"/>
    </row>
    <row r="413" spans="1:27" ht="12.75">
      <c r="A413" s="195"/>
      <c r="B413" s="195"/>
      <c r="C413" s="195"/>
      <c r="D413" s="195"/>
      <c r="E413" s="195"/>
      <c r="F413" s="195"/>
      <c r="G413" s="195"/>
      <c r="H413" s="195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  <c r="AA413" s="159"/>
    </row>
    <row r="414" spans="1:27" ht="12.75">
      <c r="A414" s="195"/>
      <c r="B414" s="195"/>
      <c r="C414" s="195"/>
      <c r="D414" s="195"/>
      <c r="E414" s="195"/>
      <c r="F414" s="195"/>
      <c r="G414" s="195"/>
      <c r="H414" s="195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</row>
    <row r="415" spans="1:27" ht="12.75">
      <c r="A415" s="195"/>
      <c r="B415" s="195"/>
      <c r="C415" s="195"/>
      <c r="D415" s="195"/>
      <c r="E415" s="195"/>
      <c r="F415" s="195"/>
      <c r="G415" s="195"/>
      <c r="H415" s="195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  <c r="AA415" s="159"/>
    </row>
    <row r="416" spans="1:27" ht="12.75">
      <c r="A416" s="195"/>
      <c r="B416" s="195"/>
      <c r="C416" s="195"/>
      <c r="D416" s="195"/>
      <c r="E416" s="195"/>
      <c r="F416" s="195"/>
      <c r="G416" s="195"/>
      <c r="H416" s="195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</row>
    <row r="417" spans="1:27" ht="12.75">
      <c r="A417" s="195"/>
      <c r="B417" s="195"/>
      <c r="C417" s="195"/>
      <c r="D417" s="195"/>
      <c r="E417" s="195"/>
      <c r="F417" s="195"/>
      <c r="G417" s="195"/>
      <c r="H417" s="195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</row>
    <row r="418" spans="1:27" ht="12.75">
      <c r="A418" s="195"/>
      <c r="B418" s="195"/>
      <c r="C418" s="195"/>
      <c r="D418" s="195"/>
      <c r="E418" s="195"/>
      <c r="F418" s="195"/>
      <c r="G418" s="195"/>
      <c r="H418" s="195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</row>
    <row r="419" spans="1:27" ht="12.75">
      <c r="A419" s="195"/>
      <c r="B419" s="195"/>
      <c r="C419" s="195"/>
      <c r="D419" s="195"/>
      <c r="E419" s="195"/>
      <c r="F419" s="195"/>
      <c r="G419" s="195"/>
      <c r="H419" s="195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</row>
    <row r="420" spans="1:27" ht="12.75">
      <c r="A420" s="195"/>
      <c r="B420" s="195"/>
      <c r="C420" s="195"/>
      <c r="D420" s="195"/>
      <c r="E420" s="195"/>
      <c r="F420" s="195"/>
      <c r="G420" s="195"/>
      <c r="H420" s="195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</row>
    <row r="421" spans="1:27" ht="12.75">
      <c r="A421" s="195"/>
      <c r="B421" s="195"/>
      <c r="C421" s="195"/>
      <c r="D421" s="195"/>
      <c r="E421" s="195"/>
      <c r="F421" s="195"/>
      <c r="G421" s="195"/>
      <c r="H421" s="195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</row>
    <row r="422" spans="1:27" ht="12.75">
      <c r="A422" s="195"/>
      <c r="B422" s="195"/>
      <c r="C422" s="195"/>
      <c r="D422" s="195"/>
      <c r="E422" s="195"/>
      <c r="F422" s="195"/>
      <c r="G422" s="195"/>
      <c r="H422" s="195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</row>
    <row r="423" spans="1:27" ht="12.75">
      <c r="A423" s="195"/>
      <c r="B423" s="195"/>
      <c r="C423" s="195"/>
      <c r="D423" s="195"/>
      <c r="E423" s="195"/>
      <c r="F423" s="195"/>
      <c r="G423" s="195"/>
      <c r="H423" s="195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</row>
    <row r="424" spans="1:27" ht="12.75">
      <c r="A424" s="195"/>
      <c r="B424" s="195"/>
      <c r="C424" s="195"/>
      <c r="D424" s="195"/>
      <c r="E424" s="195"/>
      <c r="F424" s="195"/>
      <c r="G424" s="195"/>
      <c r="H424" s="195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</row>
    <row r="425" spans="1:27" ht="12.75">
      <c r="A425" s="195"/>
      <c r="B425" s="195"/>
      <c r="C425" s="195"/>
      <c r="D425" s="195"/>
      <c r="E425" s="195"/>
      <c r="F425" s="195"/>
      <c r="G425" s="195"/>
      <c r="H425" s="195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</row>
    <row r="426" spans="1:27" ht="12.75">
      <c r="A426" s="195"/>
      <c r="B426" s="195"/>
      <c r="C426" s="195"/>
      <c r="D426" s="195"/>
      <c r="E426" s="195"/>
      <c r="F426" s="195"/>
      <c r="G426" s="195"/>
      <c r="H426" s="195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</row>
    <row r="427" spans="1:27" ht="12.75">
      <c r="A427" s="195"/>
      <c r="B427" s="195"/>
      <c r="C427" s="195"/>
      <c r="D427" s="195"/>
      <c r="E427" s="195"/>
      <c r="F427" s="195"/>
      <c r="G427" s="195"/>
      <c r="H427" s="195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</row>
    <row r="428" spans="1:27" ht="12.75">
      <c r="A428" s="195"/>
      <c r="B428" s="195"/>
      <c r="C428" s="195"/>
      <c r="D428" s="195"/>
      <c r="E428" s="195"/>
      <c r="F428" s="195"/>
      <c r="G428" s="195"/>
      <c r="H428" s="195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</row>
    <row r="429" spans="1:27" ht="12.75">
      <c r="A429" s="195"/>
      <c r="B429" s="195"/>
      <c r="C429" s="195"/>
      <c r="D429" s="195"/>
      <c r="E429" s="195"/>
      <c r="F429" s="195"/>
      <c r="G429" s="195"/>
      <c r="H429" s="195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</row>
    <row r="430" spans="1:27" ht="12.75">
      <c r="A430" s="195"/>
      <c r="B430" s="195"/>
      <c r="C430" s="195"/>
      <c r="D430" s="195"/>
      <c r="E430" s="195"/>
      <c r="F430" s="195"/>
      <c r="G430" s="195"/>
      <c r="H430" s="195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</row>
    <row r="431" spans="1:27" ht="12.75">
      <c r="A431" s="195"/>
      <c r="B431" s="195"/>
      <c r="C431" s="195"/>
      <c r="D431" s="195"/>
      <c r="E431" s="195"/>
      <c r="F431" s="195"/>
      <c r="G431" s="195"/>
      <c r="H431" s="195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</row>
    <row r="432" spans="1:27" ht="12.75">
      <c r="A432" s="195"/>
      <c r="B432" s="195"/>
      <c r="C432" s="195"/>
      <c r="D432" s="195"/>
      <c r="E432" s="195"/>
      <c r="F432" s="195"/>
      <c r="G432" s="195"/>
      <c r="H432" s="195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</row>
    <row r="433" spans="1:27" ht="12.75">
      <c r="A433" s="195"/>
      <c r="B433" s="195"/>
      <c r="C433" s="195"/>
      <c r="D433" s="195"/>
      <c r="E433" s="195"/>
      <c r="F433" s="195"/>
      <c r="G433" s="195"/>
      <c r="H433" s="195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</row>
    <row r="434" spans="1:27" ht="12.75">
      <c r="A434" s="195"/>
      <c r="B434" s="195"/>
      <c r="C434" s="195"/>
      <c r="D434" s="195"/>
      <c r="E434" s="195"/>
      <c r="F434" s="195"/>
      <c r="G434" s="195"/>
      <c r="H434" s="195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</row>
    <row r="435" spans="1:27" ht="12.75">
      <c r="A435" s="195"/>
      <c r="B435" s="195"/>
      <c r="C435" s="195"/>
      <c r="D435" s="195"/>
      <c r="E435" s="195"/>
      <c r="F435" s="195"/>
      <c r="G435" s="195"/>
      <c r="H435" s="195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</row>
    <row r="436" spans="1:27" ht="12.75">
      <c r="A436" s="195"/>
      <c r="B436" s="195"/>
      <c r="C436" s="195"/>
      <c r="D436" s="195"/>
      <c r="E436" s="195"/>
      <c r="F436" s="195"/>
      <c r="G436" s="195"/>
      <c r="H436" s="195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</row>
    <row r="437" spans="1:27" ht="12.75">
      <c r="A437" s="195"/>
      <c r="B437" s="195"/>
      <c r="C437" s="195"/>
      <c r="D437" s="195"/>
      <c r="E437" s="195"/>
      <c r="F437" s="195"/>
      <c r="G437" s="195"/>
      <c r="H437" s="195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</row>
    <row r="438" spans="1:27" ht="12.75">
      <c r="A438" s="195"/>
      <c r="B438" s="195"/>
      <c r="C438" s="195"/>
      <c r="D438" s="195"/>
      <c r="E438" s="195"/>
      <c r="F438" s="195"/>
      <c r="G438" s="195"/>
      <c r="H438" s="195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  <c r="AA438" s="159"/>
    </row>
    <row r="439" spans="1:27" ht="12.75">
      <c r="A439" s="195"/>
      <c r="B439" s="195"/>
      <c r="C439" s="195"/>
      <c r="D439" s="195"/>
      <c r="E439" s="195"/>
      <c r="F439" s="195"/>
      <c r="G439" s="195"/>
      <c r="H439" s="195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59"/>
    </row>
    <row r="440" spans="1:27" ht="12.75">
      <c r="A440" s="195"/>
      <c r="B440" s="195"/>
      <c r="C440" s="195"/>
      <c r="D440" s="195"/>
      <c r="E440" s="195"/>
      <c r="F440" s="195"/>
      <c r="G440" s="195"/>
      <c r="H440" s="195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  <c r="AA440" s="159"/>
    </row>
    <row r="441" spans="1:27" ht="12.75">
      <c r="A441" s="195"/>
      <c r="B441" s="195"/>
      <c r="C441" s="195"/>
      <c r="D441" s="195"/>
      <c r="E441" s="195"/>
      <c r="F441" s="195"/>
      <c r="G441" s="195"/>
      <c r="H441" s="195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</row>
    <row r="442" spans="1:27" ht="12.75">
      <c r="A442" s="195"/>
      <c r="B442" s="195"/>
      <c r="C442" s="195"/>
      <c r="D442" s="195"/>
      <c r="E442" s="195"/>
      <c r="F442" s="195"/>
      <c r="G442" s="195"/>
      <c r="H442" s="195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59"/>
    </row>
    <row r="443" spans="1:27" ht="12.75">
      <c r="A443" s="195"/>
      <c r="B443" s="195"/>
      <c r="C443" s="195"/>
      <c r="D443" s="195"/>
      <c r="E443" s="195"/>
      <c r="F443" s="195"/>
      <c r="G443" s="195"/>
      <c r="H443" s="195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</row>
    <row r="444" spans="1:27" ht="12.75">
      <c r="A444" s="195"/>
      <c r="B444" s="195"/>
      <c r="C444" s="195"/>
      <c r="D444" s="195"/>
      <c r="E444" s="195"/>
      <c r="F444" s="195"/>
      <c r="G444" s="195"/>
      <c r="H444" s="195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  <c r="AA444" s="159"/>
    </row>
    <row r="445" spans="1:27" ht="12.75">
      <c r="A445" s="195"/>
      <c r="B445" s="195"/>
      <c r="C445" s="195"/>
      <c r="D445" s="195"/>
      <c r="E445" s="195"/>
      <c r="F445" s="195"/>
      <c r="G445" s="195"/>
      <c r="H445" s="195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</row>
    <row r="446" spans="1:27" ht="12.75">
      <c r="A446" s="195"/>
      <c r="B446" s="195"/>
      <c r="C446" s="195"/>
      <c r="D446" s="195"/>
      <c r="E446" s="195"/>
      <c r="F446" s="195"/>
      <c r="G446" s="195"/>
      <c r="H446" s="195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</row>
    <row r="447" spans="1:27" ht="12.75">
      <c r="A447" s="195"/>
      <c r="B447" s="195"/>
      <c r="C447" s="195"/>
      <c r="D447" s="195"/>
      <c r="E447" s="195"/>
      <c r="F447" s="195"/>
      <c r="G447" s="195"/>
      <c r="H447" s="195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</row>
    <row r="448" spans="1:27" ht="12.75">
      <c r="A448" s="195"/>
      <c r="B448" s="195"/>
      <c r="C448" s="195"/>
      <c r="D448" s="195"/>
      <c r="E448" s="195"/>
      <c r="F448" s="195"/>
      <c r="G448" s="195"/>
      <c r="H448" s="195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</row>
    <row r="449" spans="1:27" ht="12.75">
      <c r="A449" s="195"/>
      <c r="B449" s="195"/>
      <c r="C449" s="195"/>
      <c r="D449" s="195"/>
      <c r="E449" s="195"/>
      <c r="F449" s="195"/>
      <c r="G449" s="195"/>
      <c r="H449" s="195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  <c r="AA449" s="159"/>
    </row>
  </sheetData>
  <sheetProtection password="E4D0" sheet="1"/>
  <mergeCells count="93">
    <mergeCell ref="G213:H213"/>
    <mergeCell ref="A209:B209"/>
    <mergeCell ref="C209:D210"/>
    <mergeCell ref="E209:F210"/>
    <mergeCell ref="G209:G210"/>
    <mergeCell ref="A210:B210"/>
    <mergeCell ref="A211:B211"/>
    <mergeCell ref="E206:F206"/>
    <mergeCell ref="A204:B204"/>
    <mergeCell ref="A202:B202"/>
    <mergeCell ref="A207:B207"/>
    <mergeCell ref="E207:F207"/>
    <mergeCell ref="A213:B213"/>
    <mergeCell ref="C213:F213"/>
    <mergeCell ref="A208:B208"/>
    <mergeCell ref="E208:F208"/>
    <mergeCell ref="G150:G151"/>
    <mergeCell ref="A151:B151"/>
    <mergeCell ref="A152:B152"/>
    <mergeCell ref="A153:B153"/>
    <mergeCell ref="A205:B205"/>
    <mergeCell ref="A206:B206"/>
    <mergeCell ref="F155:F156"/>
    <mergeCell ref="G157:G196"/>
    <mergeCell ref="A201:B201"/>
    <mergeCell ref="C201:E201"/>
    <mergeCell ref="F154:G154"/>
    <mergeCell ref="A155:A156"/>
    <mergeCell ref="B155:B156"/>
    <mergeCell ref="C155:C156"/>
    <mergeCell ref="D155:D156"/>
    <mergeCell ref="E155:E156"/>
    <mergeCell ref="A154:E154"/>
    <mergeCell ref="A149:B149"/>
    <mergeCell ref="C149:D149"/>
    <mergeCell ref="E149:F149"/>
    <mergeCell ref="A150:B150"/>
    <mergeCell ref="C150:D151"/>
    <mergeCell ref="E150:F151"/>
    <mergeCell ref="A147:B147"/>
    <mergeCell ref="C147:D147"/>
    <mergeCell ref="E147:F147"/>
    <mergeCell ref="A148:B148"/>
    <mergeCell ref="C148:D148"/>
    <mergeCell ref="E148:F148"/>
    <mergeCell ref="F39:F40"/>
    <mergeCell ref="A145:B145"/>
    <mergeCell ref="F96:F97"/>
    <mergeCell ref="A95:E95"/>
    <mergeCell ref="G98:G133"/>
    <mergeCell ref="A142:B142"/>
    <mergeCell ref="C142:E142"/>
    <mergeCell ref="G39:G40"/>
    <mergeCell ref="B39:D39"/>
    <mergeCell ref="A146:B146"/>
    <mergeCell ref="F95:G95"/>
    <mergeCell ref="A96:A97"/>
    <mergeCell ref="B96:B97"/>
    <mergeCell ref="C96:C97"/>
    <mergeCell ref="D96:D97"/>
    <mergeCell ref="E96:E97"/>
    <mergeCell ref="A143:B143"/>
    <mergeCell ref="A16:C16"/>
    <mergeCell ref="D16:E16"/>
    <mergeCell ref="D17:E17"/>
    <mergeCell ref="A17:C17"/>
    <mergeCell ref="B29:G29"/>
    <mergeCell ref="D31:E31"/>
    <mergeCell ref="A31:C31"/>
    <mergeCell ref="A32:C32"/>
    <mergeCell ref="B21:C21"/>
    <mergeCell ref="B24:C24"/>
    <mergeCell ref="C25:D25"/>
    <mergeCell ref="G25:H25"/>
    <mergeCell ref="E38:G38"/>
    <mergeCell ref="D32:E32"/>
    <mergeCell ref="D34:E34"/>
    <mergeCell ref="A2:C2"/>
    <mergeCell ref="A10:C10"/>
    <mergeCell ref="B9:C9"/>
    <mergeCell ref="B5:D5"/>
    <mergeCell ref="D9:H9"/>
    <mergeCell ref="F5:H5"/>
    <mergeCell ref="E1:G1"/>
    <mergeCell ref="E2:G2"/>
    <mergeCell ref="B20:C20"/>
    <mergeCell ref="A3:F3"/>
    <mergeCell ref="A6:B6"/>
    <mergeCell ref="C6:F6"/>
    <mergeCell ref="D10:E10"/>
    <mergeCell ref="B11:C15"/>
    <mergeCell ref="A4:B4"/>
    <mergeCell ref="A1:C1"/>
  </mergeCells>
  <conditionalFormatting sqref="D203:H203 B203 G32:G34 A98:F141 A157:F200">
    <cfRule type="cellIs" priority="6" dxfId="3" operator="notEqual" stopIfTrue="1">
      <formula>""</formula>
    </cfRule>
  </conditionalFormatting>
  <conditionalFormatting sqref="C213:H213">
    <cfRule type="cellIs" priority="5" dxfId="3" operator="notEqual" stopIfTrue="1">
      <formula>""</formula>
    </cfRule>
  </conditionalFormatting>
  <conditionalFormatting sqref="E39:G39">
    <cfRule type="cellIs" priority="4" dxfId="46" operator="notEqual" stopIfTrue="1">
      <formula>""</formula>
    </cfRule>
  </conditionalFormatting>
  <conditionalFormatting sqref="B155:F156">
    <cfRule type="cellIs" priority="2" dxfId="47" operator="notEqual" stopIfTrue="1">
      <formula>""</formula>
    </cfRule>
  </conditionalFormatting>
  <conditionalFormatting sqref="C208:F208">
    <cfRule type="expression" priority="1" dxfId="48" stopIfTrue="1">
      <formula>$F$24&lt;&gt;""</formula>
    </cfRule>
  </conditionalFormatting>
  <printOptions/>
  <pageMargins left="0.7" right="0.7" top="0.75" bottom="0.75" header="0.3" footer="0.3"/>
  <pageSetup horizontalDpi="600" verticalDpi="600" orientation="portrait" paperSize="9" r:id="rId2"/>
  <rowBreaks count="4" manualBreakCount="4">
    <brk id="37" max="255" man="1"/>
    <brk id="94" max="255" man="1"/>
    <brk id="153" max="255" man="1"/>
    <brk id="2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REVISIÓN DE PRECIOS</dc:title>
  <dc:subject>Programa para cálculo de revisión de precios</dc:subject>
  <dc:creator>Mauro Pérez Segura</dc:creator>
  <cp:keywords>REVISION PRECIOS</cp:keywords>
  <dc:description>contacto para dudas o sugerencias: mauropsegura@ingenieriasmg.com</dc:description>
  <cp:lastModifiedBy>Usuario</cp:lastModifiedBy>
  <cp:lastPrinted>2010-11-30T11:57:46Z</cp:lastPrinted>
  <dcterms:created xsi:type="dcterms:W3CDTF">1999-09-03T09:51:19Z</dcterms:created>
  <dcterms:modified xsi:type="dcterms:W3CDTF">2021-07-01T08:59:36Z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